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1075" windowHeight="9345" activeTab="1"/>
  </bookViews>
  <sheets>
    <sheet name="общая методика расчёта" sheetId="1" r:id="rId1"/>
    <sheet name="расчёт первичн. экспертиз" sheetId="2" r:id="rId2"/>
    <sheet name="расчёт реэкспертиз " sheetId="4" r:id="rId3"/>
    <sheet name="расчёт эксперт. доп. документ." sheetId="5" r:id="rId4"/>
    <sheet name="расчёт реэксперт. доп. документ" sheetId="7" r:id="rId5"/>
  </sheets>
  <calcPr calcId="145621" refMode="R1C1"/>
</workbook>
</file>

<file path=xl/calcChain.xml><?xml version="1.0" encoding="utf-8"?>
<calcChain xmlns="http://schemas.openxmlformats.org/spreadsheetml/2006/main">
  <c r="F51" i="2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F6" i="2"/>
  <c r="G6" i="2"/>
  <c r="H6" i="2"/>
  <c r="I6" i="2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6" i="7"/>
  <c r="E64" i="7"/>
  <c r="E63" i="7"/>
  <c r="E62" i="7"/>
  <c r="E61" i="7"/>
  <c r="E47" i="7"/>
  <c r="E46" i="7"/>
  <c r="E45" i="7"/>
  <c r="E44" i="7"/>
  <c r="E30" i="7"/>
  <c r="E29" i="7"/>
  <c r="E28" i="7"/>
  <c r="E27" i="7"/>
  <c r="E13" i="7"/>
  <c r="E12" i="7"/>
  <c r="E11" i="7"/>
  <c r="E10" i="7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I6" i="5"/>
  <c r="H6" i="5"/>
  <c r="G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6" i="5"/>
  <c r="E64" i="5"/>
  <c r="E63" i="5"/>
  <c r="E62" i="5"/>
  <c r="E61" i="5"/>
  <c r="E47" i="5"/>
  <c r="E46" i="5"/>
  <c r="E45" i="5"/>
  <c r="E44" i="5"/>
  <c r="E30" i="5"/>
  <c r="E29" i="5"/>
  <c r="E28" i="5"/>
  <c r="E27" i="5"/>
  <c r="E13" i="5"/>
  <c r="E12" i="5"/>
  <c r="E11" i="5"/>
  <c r="E10" i="5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6" i="4"/>
  <c r="F6" i="4"/>
  <c r="G22" i="4"/>
  <c r="G39" i="4"/>
  <c r="G56" i="4"/>
  <c r="F22" i="4"/>
  <c r="F39" i="4"/>
  <c r="F56" i="4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I51" i="2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F59" i="2"/>
  <c r="I59" i="2" s="1"/>
  <c r="F60" i="2"/>
  <c r="I60" i="2" s="1"/>
  <c r="F61" i="2"/>
  <c r="I61" i="2" s="1"/>
  <c r="F62" i="2"/>
  <c r="I62" i="2" s="1"/>
  <c r="F63" i="2"/>
  <c r="I63" i="2" s="1"/>
  <c r="F64" i="2"/>
  <c r="I64" i="2" s="1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F71" i="2"/>
  <c r="I71" i="2" s="1"/>
  <c r="F72" i="2"/>
  <c r="I72" i="2" s="1"/>
  <c r="E64" i="4" l="1"/>
  <c r="E63" i="4"/>
  <c r="E62" i="4"/>
  <c r="E61" i="4"/>
  <c r="E13" i="4"/>
  <c r="E12" i="4"/>
  <c r="E11" i="4"/>
  <c r="E10" i="4"/>
  <c r="E30" i="4"/>
  <c r="E29" i="4"/>
  <c r="E28" i="4"/>
  <c r="E27" i="4"/>
  <c r="E47" i="4"/>
  <c r="E46" i="4"/>
  <c r="E45" i="4"/>
  <c r="E44" i="4"/>
  <c r="F47" i="4" l="1"/>
  <c r="G47" i="4"/>
  <c r="F28" i="4"/>
  <c r="G28" i="4"/>
  <c r="F11" i="4"/>
  <c r="G11" i="4"/>
  <c r="F13" i="4"/>
  <c r="G13" i="4"/>
  <c r="F62" i="4"/>
  <c r="G62" i="4"/>
  <c r="F44" i="4"/>
  <c r="G44" i="4"/>
  <c r="F46" i="4"/>
  <c r="G46" i="4"/>
  <c r="F27" i="4"/>
  <c r="G27" i="4"/>
  <c r="F29" i="4"/>
  <c r="G29" i="4"/>
  <c r="F10" i="4"/>
  <c r="G10" i="4"/>
  <c r="F12" i="4"/>
  <c r="G12" i="4"/>
  <c r="F61" i="4"/>
  <c r="G61" i="4"/>
  <c r="F63" i="4"/>
  <c r="G63" i="4"/>
  <c r="F45" i="4"/>
  <c r="G45" i="4"/>
  <c r="F30" i="4"/>
  <c r="G30" i="4"/>
  <c r="F64" i="4"/>
  <c r="G64" i="4"/>
  <c r="E19" i="7" l="1"/>
  <c r="E24" i="7"/>
  <c r="E49" i="7"/>
  <c r="E41" i="7"/>
  <c r="E55" i="7"/>
  <c r="E71" i="7"/>
  <c r="E67" i="7"/>
  <c r="E58" i="7"/>
  <c r="E48" i="5"/>
  <c r="E52" i="5"/>
  <c r="E58" i="5"/>
  <c r="E69" i="4"/>
  <c r="E66" i="4"/>
  <c r="E57" i="4"/>
  <c r="E53" i="4"/>
  <c r="E48" i="4"/>
  <c r="E40" i="4"/>
  <c r="E36" i="4"/>
  <c r="E32" i="4"/>
  <c r="E23" i="4"/>
  <c r="E18" i="4"/>
  <c r="E15" i="4"/>
  <c r="E8" i="4"/>
  <c r="E35" i="5"/>
  <c r="E31" i="5"/>
  <c r="E23" i="5"/>
  <c r="E26" i="7"/>
  <c r="E25" i="7"/>
  <c r="E23" i="7"/>
  <c r="E34" i="7"/>
  <c r="E33" i="7"/>
  <c r="E32" i="7"/>
  <c r="E31" i="7"/>
  <c r="E38" i="7"/>
  <c r="E37" i="7"/>
  <c r="E36" i="7"/>
  <c r="E35" i="7"/>
  <c r="E43" i="4"/>
  <c r="E24" i="4"/>
  <c r="E25" i="4"/>
  <c r="E26" i="4"/>
  <c r="E31" i="4"/>
  <c r="E34" i="4"/>
  <c r="E33" i="4"/>
  <c r="E38" i="4"/>
  <c r="E37" i="4"/>
  <c r="E35" i="4"/>
  <c r="E67" i="4"/>
  <c r="E68" i="4"/>
  <c r="E65" i="4"/>
  <c r="E14" i="5"/>
  <c r="E72" i="5"/>
  <c r="E71" i="5"/>
  <c r="E70" i="5"/>
  <c r="E69" i="5"/>
  <c r="E67" i="5"/>
  <c r="E68" i="5"/>
  <c r="E66" i="5"/>
  <c r="E65" i="5"/>
  <c r="E60" i="5"/>
  <c r="E59" i="5"/>
  <c r="E57" i="5"/>
  <c r="E55" i="5"/>
  <c r="E54" i="5"/>
  <c r="E53" i="5"/>
  <c r="E51" i="5"/>
  <c r="E50" i="5"/>
  <c r="E49" i="5"/>
  <c r="E43" i="5"/>
  <c r="E42" i="5"/>
  <c r="E41" i="5"/>
  <c r="E40" i="5"/>
  <c r="E38" i="5"/>
  <c r="E37" i="5"/>
  <c r="E36" i="5"/>
  <c r="E34" i="5"/>
  <c r="E33" i="5"/>
  <c r="E32" i="5"/>
  <c r="E26" i="5"/>
  <c r="E25" i="5"/>
  <c r="E24" i="5"/>
  <c r="E21" i="5"/>
  <c r="E20" i="5"/>
  <c r="E19" i="5"/>
  <c r="E18" i="5"/>
  <c r="E17" i="5"/>
  <c r="E16" i="5"/>
  <c r="E15" i="5"/>
  <c r="E9" i="5"/>
  <c r="E8" i="5"/>
  <c r="E7" i="5"/>
  <c r="E6" i="5"/>
  <c r="E53" i="7"/>
  <c r="E57" i="7"/>
  <c r="E72" i="7"/>
  <c r="E70" i="7"/>
  <c r="E69" i="7"/>
  <c r="E68" i="7"/>
  <c r="E66" i="7"/>
  <c r="E65" i="7"/>
  <c r="E60" i="7"/>
  <c r="E59" i="7"/>
  <c r="E54" i="7"/>
  <c r="E52" i="7"/>
  <c r="E50" i="7"/>
  <c r="E51" i="7"/>
  <c r="E48" i="7"/>
  <c r="E43" i="7"/>
  <c r="E42" i="7"/>
  <c r="E40" i="7"/>
  <c r="E21" i="7"/>
  <c r="E20" i="7"/>
  <c r="E18" i="7"/>
  <c r="E17" i="7"/>
  <c r="E16" i="7"/>
  <c r="E15" i="7"/>
  <c r="E14" i="7"/>
  <c r="E9" i="7"/>
  <c r="E8" i="7"/>
  <c r="E7" i="7"/>
  <c r="E6" i="7"/>
  <c r="E14" i="4"/>
  <c r="E6" i="4"/>
  <c r="E49" i="4"/>
  <c r="E52" i="4"/>
  <c r="E72" i="4"/>
  <c r="E71" i="4"/>
  <c r="E70" i="4"/>
  <c r="E60" i="4"/>
  <c r="E59" i="4"/>
  <c r="E58" i="4"/>
  <c r="E50" i="4"/>
  <c r="E51" i="4"/>
  <c r="E55" i="4"/>
  <c r="E54" i="4"/>
  <c r="E42" i="4"/>
  <c r="E41" i="4"/>
  <c r="E21" i="4"/>
  <c r="E20" i="4"/>
  <c r="E19" i="4"/>
  <c r="E17" i="4"/>
  <c r="E16" i="4"/>
  <c r="E9" i="4"/>
  <c r="E7" i="4"/>
  <c r="G9" i="4" l="1"/>
  <c r="G17" i="4"/>
  <c r="G20" i="4"/>
  <c r="F41" i="4"/>
  <c r="G41" i="4"/>
  <c r="F54" i="4"/>
  <c r="G54" i="4"/>
  <c r="F51" i="4"/>
  <c r="G51" i="4"/>
  <c r="F58" i="4"/>
  <c r="G58" i="4"/>
  <c r="F60" i="4"/>
  <c r="G60" i="4"/>
  <c r="F71" i="4"/>
  <c r="G71" i="4"/>
  <c r="F52" i="4"/>
  <c r="G52" i="4"/>
  <c r="G6" i="4"/>
  <c r="F65" i="4"/>
  <c r="G65" i="4"/>
  <c r="F67" i="4"/>
  <c r="G67" i="4"/>
  <c r="F37" i="4"/>
  <c r="G37" i="4"/>
  <c r="F33" i="4"/>
  <c r="G33" i="4"/>
  <c r="F31" i="4"/>
  <c r="G31" i="4"/>
  <c r="G25" i="4"/>
  <c r="F43" i="4"/>
  <c r="G43" i="4"/>
  <c r="G15" i="4"/>
  <c r="G23" i="4"/>
  <c r="F36" i="4"/>
  <c r="G36" i="4"/>
  <c r="F48" i="4"/>
  <c r="G48" i="4"/>
  <c r="F57" i="4"/>
  <c r="G57" i="4"/>
  <c r="F69" i="4"/>
  <c r="G69" i="4"/>
  <c r="G7" i="4"/>
  <c r="G16" i="4"/>
  <c r="G19" i="4"/>
  <c r="G21" i="4"/>
  <c r="F42" i="4"/>
  <c r="G42" i="4"/>
  <c r="F55" i="4"/>
  <c r="G55" i="4"/>
  <c r="F50" i="4"/>
  <c r="G50" i="4"/>
  <c r="F59" i="4"/>
  <c r="G59" i="4"/>
  <c r="F70" i="4"/>
  <c r="G70" i="4"/>
  <c r="F72" i="4"/>
  <c r="G72" i="4"/>
  <c r="F49" i="4"/>
  <c r="G49" i="4"/>
  <c r="G14" i="4"/>
  <c r="F68" i="4"/>
  <c r="G68" i="4"/>
  <c r="F35" i="4"/>
  <c r="G35" i="4"/>
  <c r="F38" i="4"/>
  <c r="G38" i="4"/>
  <c r="F34" i="4"/>
  <c r="G34" i="4"/>
  <c r="G26" i="4"/>
  <c r="G24" i="4"/>
  <c r="G8" i="4"/>
  <c r="G18" i="4"/>
  <c r="F32" i="4"/>
  <c r="G32" i="4"/>
  <c r="F40" i="4"/>
  <c r="G40" i="4"/>
  <c r="F53" i="4"/>
  <c r="G53" i="4"/>
  <c r="F66" i="4"/>
  <c r="G66" i="4"/>
  <c r="F9" i="4"/>
  <c r="F17" i="4"/>
  <c r="F20" i="4"/>
  <c r="F25" i="4"/>
  <c r="F15" i="4"/>
  <c r="F23" i="4"/>
  <c r="F7" i="4"/>
  <c r="F16" i="4"/>
  <c r="F19" i="4"/>
  <c r="F21" i="4"/>
  <c r="F14" i="4"/>
  <c r="F26" i="4"/>
  <c r="F24" i="4"/>
  <c r="F8" i="4"/>
  <c r="F18" i="4"/>
</calcChain>
</file>

<file path=xl/sharedStrings.xml><?xml version="1.0" encoding="utf-8"?>
<sst xmlns="http://schemas.openxmlformats.org/spreadsheetml/2006/main" count="757" uniqueCount="298">
  <si>
    <t>эксперт  I квалификационной категории  - 1,0</t>
  </si>
  <si>
    <t>эксперт  высшей квалификационной категории  - 2,0</t>
  </si>
  <si>
    <t>эксперт кандидат медицинских наук - 3,0</t>
  </si>
  <si>
    <t>эксперт доктор медицинских наук - 4,0.</t>
  </si>
  <si>
    <t>плановая тематическая экспертиза качества медицинской помощи - 0,8</t>
  </si>
  <si>
    <t>целевая экспертиза качества медицинской помощи - 1,0</t>
  </si>
  <si>
    <t>очная экспертиза качества медицинской помощи - 1,1</t>
  </si>
  <si>
    <t>Кдок - коэффициент, устанавливаемый в соотвествии с видом мед. документации:</t>
  </si>
  <si>
    <t>- экспертиза медицинской карты амбулаторного больного, карты вызова скорой медицинской помощи -1;</t>
  </si>
  <si>
    <t>Первичная экспертиза:</t>
  </si>
  <si>
    <t xml:space="preserve"> - стационарная  - 0,07;</t>
  </si>
  <si>
    <t>Реэкспертиза:</t>
  </si>
  <si>
    <t>амбулаторно-поликлиническая помощь в размере - 0,06;</t>
  </si>
  <si>
    <t>стационарная - 0,08;</t>
  </si>
  <si>
    <t>Наименование экспертизы</t>
  </si>
  <si>
    <t>Квалификация специалиста</t>
  </si>
  <si>
    <t>Расчёт</t>
  </si>
  <si>
    <t>Первичная экспертиза</t>
  </si>
  <si>
    <t>Плановая методом случайной выборки:</t>
  </si>
  <si>
    <t>эксперт с 1 квалификационной категорией</t>
  </si>
  <si>
    <t>7500*0,05*(1,0+1,0*0,5)</t>
  </si>
  <si>
    <t>эксперт с высшей квалификационной категорией</t>
  </si>
  <si>
    <t>7500*0,05*(1,0+2,0*0,5)</t>
  </si>
  <si>
    <t>эксперт кандидат медицинских наук</t>
  </si>
  <si>
    <t>7500*0,05*(1,0+3,0*0,5)</t>
  </si>
  <si>
    <t>эксперт доктор медицинских наук</t>
  </si>
  <si>
    <t>7500*0,05*(1,0+4,0*0,5)</t>
  </si>
  <si>
    <t>Стационарная помощь:</t>
  </si>
  <si>
    <t>Амбулаторная-поликлиническая  и скорая  помощь :</t>
  </si>
  <si>
    <t xml:space="preserve"> - амбулаторно-поликлиническая и скорая медицинская помощь- 0,05;</t>
  </si>
  <si>
    <t>Плановая тематическая:</t>
  </si>
  <si>
    <t>1</t>
  </si>
  <si>
    <t>1.1</t>
  </si>
  <si>
    <t>1.1.1</t>
  </si>
  <si>
    <t>1.1.2</t>
  </si>
  <si>
    <t>1.2</t>
  </si>
  <si>
    <t>7500*0,05*(1,0+1,0*0,8)</t>
  </si>
  <si>
    <t>7500*0,05*(1,0+2,0*0,8)</t>
  </si>
  <si>
    <t>7500*0,05*(1,0+3,0*0,8)</t>
  </si>
  <si>
    <t>7500*0,05*(1,0+4,0*0,8)</t>
  </si>
  <si>
    <t>7500*0,07*(1,0+1,0*0,8)</t>
  </si>
  <si>
    <t>7500*0,07*(1,0+2,0*0,8)</t>
  </si>
  <si>
    <t>7500*0,07*(1,0+3,0*0,8)</t>
  </si>
  <si>
    <t>7500*0,07*(1,0+4,0*0,8)</t>
  </si>
  <si>
    <t>1.1.3</t>
  </si>
  <si>
    <t>Дневной стационар</t>
  </si>
  <si>
    <t xml:space="preserve"> - в дневном стационаре  - 0,06;</t>
  </si>
  <si>
    <t>7500*0,06*(1,0+1,0*0,5)</t>
  </si>
  <si>
    <t>в дневном стационаре - 0,07.</t>
  </si>
  <si>
    <t>7500*0,06*(1,0+2,0*0,5)</t>
  </si>
  <si>
    <t>7500*0,06*(1,0+3,0*0,5)</t>
  </si>
  <si>
    <t>7500*0,06*(1,0+4,0*0,5)</t>
  </si>
  <si>
    <t>1.2.1</t>
  </si>
  <si>
    <t>1.2.3</t>
  </si>
  <si>
    <t>7500*0,06*(1,0+1,0*0,8)</t>
  </si>
  <si>
    <t>7500*0,06*(1,0+2,0*0,8)</t>
  </si>
  <si>
    <t>7500*0,06*(1,0+3,0*0,8)</t>
  </si>
  <si>
    <t>7500*0,06*(1,0+4,0*0,8)</t>
  </si>
  <si>
    <t>1.3</t>
  </si>
  <si>
    <t>Целевая экспертиза</t>
  </si>
  <si>
    <t>7500*0,07*(1,3+1,0*0,8)</t>
  </si>
  <si>
    <t>7500*0,07*(1,3+2,0*0,8)</t>
  </si>
  <si>
    <t>7500*0,07*(1,3+3,0*0,8)</t>
  </si>
  <si>
    <t>7500*0,07*(1,3+1,0*0,5)</t>
  </si>
  <si>
    <t>7500*0,07*(1,3+2,0*0,5)</t>
  </si>
  <si>
    <t>7500*0,07*(1,3+4,0*0,5)</t>
  </si>
  <si>
    <t>7500*0,06*(1,3+1,0*0,5)</t>
  </si>
  <si>
    <t>7500*0,06*(1,3+2,0*0,5)</t>
  </si>
  <si>
    <t>7500*0,06*(1,3+3,0*0,5)</t>
  </si>
  <si>
    <t>7500*0,06*(1,3+4,0*0,5)</t>
  </si>
  <si>
    <t>1.3.1</t>
  </si>
  <si>
    <t>1.3.2</t>
  </si>
  <si>
    <t>7500*0,05*(1,0+1,0*1,0)</t>
  </si>
  <si>
    <t>7500*0,05*(1,0+2,0*1,0)</t>
  </si>
  <si>
    <t>7500*0,05*(1,0+3,0*1,0)</t>
  </si>
  <si>
    <t>7500*0,05*(1,0+4,0*1,0)</t>
  </si>
  <si>
    <t>7500*0,07*(1,3+1,0*1,0)</t>
  </si>
  <si>
    <t>7500*0,07*(1,3+2,0*1,0)</t>
  </si>
  <si>
    <t>7500*0,07*(1,3+3,0*1,0)</t>
  </si>
  <si>
    <t>1.3.3</t>
  </si>
  <si>
    <t>7500*0,06*(1,3+1,0*1,0)</t>
  </si>
  <si>
    <t>7500*0,06*(1,3+2,0*1,0)</t>
  </si>
  <si>
    <t>7500*0,06*(1,3+3,0*1,0)</t>
  </si>
  <si>
    <t>7500*0,06*(1,3+4,0*1,0)</t>
  </si>
  <si>
    <t>1.4</t>
  </si>
  <si>
    <t>Очная экспертиза</t>
  </si>
  <si>
    <t>1.4.1</t>
  </si>
  <si>
    <t>1.4.2</t>
  </si>
  <si>
    <t>1.4.3</t>
  </si>
  <si>
    <t>7500*0,05*(1,0+2,0*1,1)</t>
  </si>
  <si>
    <t>7500*0,05*(1,0+1,0*1,1)</t>
  </si>
  <si>
    <t>7500*0,05*(1,0+3,0*1,1)</t>
  </si>
  <si>
    <t>7500*0,05*(1,0+4,0*1,1)</t>
  </si>
  <si>
    <t>7500*0,07*(1,3+1,0*1,1)</t>
  </si>
  <si>
    <t>7500*0,07*(1,3+2,0*1,1)</t>
  </si>
  <si>
    <t>7500*0,07*(1,3+3,0*1,1)</t>
  </si>
  <si>
    <t>7500*0,06*(1,3+1,0*1,1)</t>
  </si>
  <si>
    <t>7500*0,06*(1,3+2,0*1,1)</t>
  </si>
  <si>
    <t>7500*0,06*(1,3+3,0*1,1)</t>
  </si>
  <si>
    <t>7500*0,06*(1,3+4,0*1,1)</t>
  </si>
  <si>
    <t>- если наряду с основной рассматривалась дополнительная медицинская и учётно-отчётная документация  медицинская -1,5;</t>
  </si>
  <si>
    <t>7500*0,08*(1,3+1,0*0,5)</t>
  </si>
  <si>
    <t>7500*0,08*(1,3+2,0*0,5)</t>
  </si>
  <si>
    <t>7500*0,07*(1,3+3,0*0,5)</t>
  </si>
  <si>
    <t>7500*0,08*(1,3+3,0*0,5)</t>
  </si>
  <si>
    <t>7500*0,08*(1,3+4,0*0,5)</t>
  </si>
  <si>
    <t>Реэкспертиза</t>
  </si>
  <si>
    <t>7500*0,06*(1,0+1,0*1,0)</t>
  </si>
  <si>
    <t>7500*0,06*(1,0+2,0*1,0)</t>
  </si>
  <si>
    <t>7500*0,06*(1,0+3,0*1,0)</t>
  </si>
  <si>
    <t>7500*0,06*(1,0+4,0*1,0)</t>
  </si>
  <si>
    <t>7500*0,08*(1,3+1,0*1,0)</t>
  </si>
  <si>
    <t>7500*0,08*(1,3+2,0*1,0)</t>
  </si>
  <si>
    <t>7500*0,08*(1,3+3,0*1,0)</t>
  </si>
  <si>
    <t>7500*0,07*(1,3+4,0*1,0)</t>
  </si>
  <si>
    <t>7500*0,06*(1,0+1,0*1,1)</t>
  </si>
  <si>
    <t>7500*0,06*(1,0+2,0*1,1)</t>
  </si>
  <si>
    <t>7500*0,06*(1,0+3,0*1,1)</t>
  </si>
  <si>
    <t>7500*0,06*(1,0+4,0*1,1)</t>
  </si>
  <si>
    <t>7500*0,08*(1,3+1,0*1,1)</t>
  </si>
  <si>
    <t>7500*0,08*(1,3+2,0*1,1)</t>
  </si>
  <si>
    <t>7500*0,08*(1,3+3,0*1,1)</t>
  </si>
  <si>
    <t>7500*0,07*(1,3+4,0*1,1)</t>
  </si>
  <si>
    <t>2.1</t>
  </si>
  <si>
    <t>2.2</t>
  </si>
  <si>
    <t>2.3</t>
  </si>
  <si>
    <t>2.2.1</t>
  </si>
  <si>
    <t>2.2.2</t>
  </si>
  <si>
    <t>2.2.3</t>
  </si>
  <si>
    <t>2.1.1</t>
  </si>
  <si>
    <t>2.4</t>
  </si>
  <si>
    <t>2.4.1</t>
  </si>
  <si>
    <t>2.4.2</t>
  </si>
  <si>
    <t>2.4.3</t>
  </si>
  <si>
    <t xml:space="preserve"> Очная экспертиза</t>
  </si>
  <si>
    <t xml:space="preserve">Первичная экспертиза (основная и дополнительная медицинская и учётно-отчётная документация) </t>
  </si>
  <si>
    <t>7500*0,06*(1,5+1,0*0,5)</t>
  </si>
  <si>
    <t>7500*0,06*(1,5+2,0*0,5)</t>
  </si>
  <si>
    <t>7500*0,06*(1,5+3,0*0,5)</t>
  </si>
  <si>
    <t>7500*0,06*(1,5+4,0*0,5)</t>
  </si>
  <si>
    <t>7500*0,08*(1,5+1,0*0,5)</t>
  </si>
  <si>
    <t>7500*0,08*(1,5+2,0*0,5)</t>
  </si>
  <si>
    <t>7500*0,08*(1,5+3,0*0,5)</t>
  </si>
  <si>
    <t>7500*0,08*(1,5+4,0*0,5)</t>
  </si>
  <si>
    <t>7500*0,07*(1,5+1,0*0,5)</t>
  </si>
  <si>
    <t>7500*0,07*(1,5+2,0*0,5)</t>
  </si>
  <si>
    <t>7500*0,07*(1,5+3,0*0,5)</t>
  </si>
  <si>
    <t>7500*0,07*(1,5+4,0*0,5)</t>
  </si>
  <si>
    <t>7500*0,06*(1,5+1,0*0,8)</t>
  </si>
  <si>
    <t>7500*0,05*(1,5+2,0*0,8)</t>
  </si>
  <si>
    <t>7500*0,05*(1,5+3,0*0,8)</t>
  </si>
  <si>
    <t>7500*0,05*(1,5+4,0*0,8)</t>
  </si>
  <si>
    <t>7500*0,07*(1,5+1,0*0,8)</t>
  </si>
  <si>
    <t>7500*0,07*(1,5+2,0*0,8)</t>
  </si>
  <si>
    <t>7500*0,07*(1,5+3,0*0,8)</t>
  </si>
  <si>
    <t>7500*0,07*(1,5+4,0*0,8)</t>
  </si>
  <si>
    <t>7500*0,06*(1,5+2,0*0,8)</t>
  </si>
  <si>
    <t>7500*0,06*(1,5+3,0*0,8)</t>
  </si>
  <si>
    <t>7500*0,06*(1,5+4,0*0,8)</t>
  </si>
  <si>
    <t>7500*0,06*(1,5+1,0*1,0)</t>
  </si>
  <si>
    <t>7500*0,06*(1,5+2,0*1,0)</t>
  </si>
  <si>
    <t>7500*0,06*(1,5+3,0*1,0)</t>
  </si>
  <si>
    <t>7500*0,06*(1,5+4,0*1,0)</t>
  </si>
  <si>
    <t>7500*0,08*(1,5+1,0*1,0)</t>
  </si>
  <si>
    <t>7500*0,08*(1,5+2,0*1,0)</t>
  </si>
  <si>
    <t>7500*0,08*(1,5+3,0*1,0)</t>
  </si>
  <si>
    <t>7500*0,08*(1,5+4,0*1,0)</t>
  </si>
  <si>
    <t>7500*0,07*(1,5+1,0*1,0)</t>
  </si>
  <si>
    <t>7500*0,07*(1,5+2,0*1,0)</t>
  </si>
  <si>
    <t>7500*0,07*(1,5+3,0*1,0)</t>
  </si>
  <si>
    <t>7500*0,07*(1,5+4,0*1,0)</t>
  </si>
  <si>
    <t>7500*0,06*(1,5+1,0*1,1)</t>
  </si>
  <si>
    <t>7500*0,06*(1,5+2,0*1,1)</t>
  </si>
  <si>
    <t>7500*0,06*(1,5+3,0*1,1)</t>
  </si>
  <si>
    <t>7500*0,06*(1,5+4,0*1,1)</t>
  </si>
  <si>
    <t>7500*0,08*(1,5+1,0*1,1)</t>
  </si>
  <si>
    <t>7500*0,08*(1,5+2,0*1,1)</t>
  </si>
  <si>
    <t>7500*0,08*(1,5+3,0*1,1)</t>
  </si>
  <si>
    <t>7500*0,08*(1,5+4,0*1,1)</t>
  </si>
  <si>
    <t>7500*0,07*(1,5+1,0*1,1)</t>
  </si>
  <si>
    <t>7500*0,07*(1,5+2,0*1,1)</t>
  </si>
  <si>
    <t>7500*0,07*(1,5+3,0*1,1)</t>
  </si>
  <si>
    <t>7500*0,07*(1,5+4,0*1,1)</t>
  </si>
  <si>
    <t xml:space="preserve">Реэкспертиза (основная и дополнительная медицинская и учётно-отчётная документация) 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</si>
  <si>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</si>
  <si>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</si>
  <si>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</si>
  <si>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</si>
  <si>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</si>
  <si>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</si>
  <si>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</si>
  <si>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</si>
  <si>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</si>
  <si>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</si>
  <si>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</si>
  <si>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</si>
  <si>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</si>
  <si>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3.4</t>
  </si>
  <si>
    <t>3.4.1</t>
  </si>
  <si>
    <t>3.4.2</t>
  </si>
  <si>
    <t>3.4.3</t>
  </si>
  <si>
    <t>7500*0,05*(1,5+1,0*0,5)</t>
  </si>
  <si>
    <t>7500*0,05*(1,5+2,0*0,5)</t>
  </si>
  <si>
    <t>7500*0,05*(1,5+3,0*0,5)</t>
  </si>
  <si>
    <t>7500*0,05*(1,5+4,0*0,5)</t>
  </si>
  <si>
    <t>7500*0,05*(1,5+1,0*0,8)</t>
  </si>
  <si>
    <t>7500*0,05*(1,5+1,0*1,0)</t>
  </si>
  <si>
    <t>7500*0,05*(1,5+2,0*1,0)</t>
  </si>
  <si>
    <t>7500*0,05*(1,5+3,0*1,0)</t>
  </si>
  <si>
    <t>7500*0,05*(1,5+4,0*1,0)</t>
  </si>
  <si>
    <t>7500*0,05*(1,5+1,0*1,1)</t>
  </si>
  <si>
    <t>7500*0,05*(1,5+2,0*1,1)</t>
  </si>
  <si>
    <t>7500*0,05*(1,5+3,0*1,1)</t>
  </si>
  <si>
    <t>7500*0,05*(1,5+4,0*1,1)</t>
  </si>
  <si>
    <t>плановая экспертиза качества медицинской помощи, в т.ч. методом случайной выборки - 0,5;</t>
  </si>
  <si>
    <r>
      <t>К</t>
    </r>
    <r>
      <rPr>
        <sz val="9"/>
        <color theme="1"/>
        <rFont val="Calibri"/>
        <family val="2"/>
        <charset val="204"/>
        <scheme val="minor"/>
      </rPr>
      <t>квал</t>
    </r>
    <r>
      <rPr>
        <sz val="11"/>
        <color theme="1"/>
        <rFont val="Calibri"/>
        <family val="2"/>
        <charset val="204"/>
        <scheme val="minor"/>
      </rPr>
      <t xml:space="preserve">  - коэффициент, учитывающий квалификацию эксперта качества:</t>
    </r>
  </si>
  <si>
    <r>
      <t>К</t>
    </r>
    <r>
      <rPr>
        <sz val="9"/>
        <color theme="1"/>
        <rFont val="Calibri"/>
        <family val="2"/>
        <charset val="204"/>
        <scheme val="minor"/>
      </rPr>
      <t>вэ</t>
    </r>
    <r>
      <rPr>
        <sz val="11"/>
        <color theme="1"/>
        <rFont val="Calibri"/>
        <family val="2"/>
        <charset val="204"/>
        <scheme val="minor"/>
      </rPr>
      <t xml:space="preserve"> - коэффициент, учитывающий сложность экспертного случая:</t>
    </r>
  </si>
  <si>
    <r>
      <t>К</t>
    </r>
    <r>
      <rPr>
        <sz val="9"/>
        <color theme="1"/>
        <rFont val="Calibri"/>
        <family val="2"/>
        <charset val="204"/>
        <scheme val="minor"/>
      </rPr>
      <t>сэ</t>
    </r>
    <r>
      <rPr>
        <sz val="11"/>
        <color theme="1"/>
        <rFont val="Calibri"/>
        <family val="2"/>
        <charset val="204"/>
        <scheme val="minor"/>
      </rPr>
      <t xml:space="preserve"> - коэффициент сложности экспертизы, определяется плательщиком экспертизы качества медицинской помощи с учётом мнения эксперта качества медицинской помощи и  вида медицинской помощи:</t>
    </r>
  </si>
  <si>
    <r>
      <t>Р</t>
    </r>
    <r>
      <rPr>
        <sz val="9"/>
        <color theme="1"/>
        <rFont val="Calibri"/>
        <family val="2"/>
        <charset val="204"/>
        <scheme val="minor"/>
      </rPr>
      <t>от</t>
    </r>
    <r>
      <rPr>
        <sz val="11"/>
        <color theme="1"/>
        <rFont val="Calibri"/>
        <family val="2"/>
        <charset val="204"/>
        <scheme val="minor"/>
      </rPr>
      <t>=М</t>
    </r>
    <r>
      <rPr>
        <sz val="9"/>
        <color theme="1"/>
        <rFont val="Calibri"/>
        <family val="2"/>
        <charset val="204"/>
        <scheme val="minor"/>
      </rPr>
      <t>рот</t>
    </r>
    <r>
      <rPr>
        <sz val="11"/>
        <color theme="1"/>
        <rFont val="Calibri"/>
        <family val="2"/>
        <charset val="204"/>
        <scheme val="minor"/>
      </rPr>
      <t>*К</t>
    </r>
    <r>
      <rPr>
        <sz val="9"/>
        <color theme="1"/>
        <rFont val="Calibri"/>
        <family val="2"/>
        <charset val="204"/>
        <scheme val="minor"/>
      </rPr>
      <t>сэ</t>
    </r>
    <r>
      <rPr>
        <sz val="11"/>
        <color theme="1"/>
        <rFont val="Calibri"/>
        <family val="2"/>
        <charset val="204"/>
        <scheme val="minor"/>
      </rPr>
      <t>*(К</t>
    </r>
    <r>
      <rPr>
        <sz val="9"/>
        <color theme="1"/>
        <rFont val="Calibri"/>
        <family val="2"/>
        <charset val="204"/>
        <scheme val="minor"/>
      </rPr>
      <t>док</t>
    </r>
    <r>
      <rPr>
        <sz val="11"/>
        <color theme="1"/>
        <rFont val="Calibri"/>
        <family val="2"/>
        <charset val="204"/>
        <scheme val="minor"/>
      </rPr>
      <t>+К</t>
    </r>
    <r>
      <rPr>
        <sz val="9"/>
        <color theme="1"/>
        <rFont val="Calibri"/>
        <family val="2"/>
        <charset val="204"/>
        <scheme val="minor"/>
      </rPr>
      <t>квал</t>
    </r>
    <r>
      <rPr>
        <sz val="11"/>
        <color theme="1"/>
        <rFont val="Calibri"/>
        <family val="2"/>
        <charset val="204"/>
        <scheme val="minor"/>
      </rPr>
      <t>*К</t>
    </r>
    <r>
      <rPr>
        <sz val="9"/>
        <color theme="1"/>
        <rFont val="Calibri"/>
        <family val="2"/>
        <charset val="204"/>
        <scheme val="minor"/>
      </rPr>
      <t>вэ</t>
    </r>
    <r>
      <rPr>
        <sz val="11"/>
        <color theme="1"/>
        <rFont val="Calibri"/>
        <family val="2"/>
        <charset val="204"/>
        <scheme val="minor"/>
      </rPr>
      <t>)</t>
    </r>
  </si>
  <si>
    <t>7500*0,08*(1,3+4,0*1,0)</t>
  </si>
  <si>
    <t>7500*0,08*(1,3+4,0*1,1)</t>
  </si>
  <si>
    <t>7500*0,6*(1,5+2,0*0,8)</t>
  </si>
  <si>
    <t>7500*0,08*(1,3+1,0*0,8)</t>
  </si>
  <si>
    <t>7500*0,08*(1,3+2,0*0,8)</t>
  </si>
  <si>
    <t>7500*0,08*(1,3+3,0*0,8)</t>
  </si>
  <si>
    <t>7500*0,08*(1,0+4,0*0,8)</t>
  </si>
  <si>
    <t>7500*0,08*(1,5+1,0*0,8)</t>
  </si>
  <si>
    <t>7500*0,08*(1,5+2,0*0,8)</t>
  </si>
  <si>
    <t>7500*0,08*(1,5+3,0*0,8)</t>
  </si>
  <si>
    <t>7500*0,08*(1,5+4,0*0,8)</t>
  </si>
  <si>
    <t>Стоимость составления аналитических материалов  по результатам экспертизы</t>
  </si>
  <si>
    <t>Амбулаторная-поликлиническая помощь :</t>
  </si>
  <si>
    <t>Скорая  помощь :</t>
  </si>
  <si>
    <t>1.1.4</t>
  </si>
  <si>
    <r>
      <t>Расчёт  стоимости работы эксперта качества медицинской помощи Р</t>
    </r>
    <r>
      <rPr>
        <sz val="9"/>
        <color theme="1"/>
        <rFont val="Calibri"/>
        <family val="2"/>
        <charset val="204"/>
        <scheme val="minor"/>
      </rPr>
      <t xml:space="preserve">от  </t>
    </r>
    <r>
      <rPr>
        <sz val="11"/>
        <color theme="1"/>
        <rFont val="Calibri"/>
        <family val="2"/>
        <charset val="204"/>
        <scheme val="minor"/>
      </rPr>
      <t xml:space="preserve">произведен на основании Методических указаний о порядке ведения реестра экспертов качества медицинской помощи в сфере обязательного медицинского страхования, утверджденных ФОМС 17.02.2011г., и </t>
    </r>
    <r>
      <rPr>
        <sz val="9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определен по формуле: </t>
    </r>
  </si>
  <si>
    <t>5.1</t>
  </si>
  <si>
    <t>5.2</t>
  </si>
  <si>
    <t>5.3</t>
  </si>
  <si>
    <t xml:space="preserve">Расчёт стоимости работы экспертов качества медицинской помощи, включенных в территориальные реестры  </t>
  </si>
  <si>
    <t>1.3.4</t>
  </si>
  <si>
    <t>Амбулаторная-поликлиническая  помощь</t>
  </si>
  <si>
    <t>1.2.2.</t>
  </si>
  <si>
    <t>1.2.4</t>
  </si>
  <si>
    <t>Амбулаторная-поликлиническая  помощь :</t>
  </si>
  <si>
    <t>1.4.4</t>
  </si>
  <si>
    <t>Скорая помощь</t>
  </si>
  <si>
    <t>Стационарная помощь</t>
  </si>
  <si>
    <t xml:space="preserve">Амбулаторная-поликлиническая  помощь </t>
  </si>
  <si>
    <t>2.1.2</t>
  </si>
  <si>
    <t>2.1.3</t>
  </si>
  <si>
    <t>2.1.4</t>
  </si>
  <si>
    <t>Амбулаторная-поликлиническая   помощь :</t>
  </si>
  <si>
    <t xml:space="preserve"> Скорая  помощь :</t>
  </si>
  <si>
    <t>2.2.4</t>
  </si>
  <si>
    <t>Скорая помощь :</t>
  </si>
  <si>
    <t>Составление протоколов разногласий по результатам экспертиз</t>
  </si>
  <si>
    <t>5.4</t>
  </si>
  <si>
    <t>3.1.4</t>
  </si>
  <si>
    <t>3.2.4</t>
  </si>
  <si>
    <t>3.3.4</t>
  </si>
  <si>
    <t>3.4.4</t>
  </si>
  <si>
    <t>Амбулаторная-поликлиническая  помощь:</t>
  </si>
  <si>
    <t>Амбулаторная-поликлиническая    помощь :</t>
  </si>
  <si>
    <t>Амбулаторная-поликлиническая :</t>
  </si>
  <si>
    <t>2.3.4</t>
  </si>
  <si>
    <t xml:space="preserve">В соответствии с ФЗ РФ от 19.06.2000 №82 (в ред. от 02.06.2016  №164-ФЗ) минимальный размер оплаты труда (МРОТ) установлен с 01.07.2016г. в размере 7500 руб. </t>
  </si>
  <si>
    <t>Общая стоимость экспертного пакета</t>
  </si>
  <si>
    <t>Тариф на 1 экспертизу</t>
  </si>
  <si>
    <t>Определение объема выборки / выборка критериев отбора случаев для экспертизы</t>
  </si>
  <si>
    <t>Определение объема выборки/ выборка критериев отбора случаев для экспертизы</t>
  </si>
  <si>
    <t>Расчет стоимости проведения повторной экспертизы качества медицинской помощи</t>
  </si>
  <si>
    <t>Расчет стоимости проведения экспертизы качества медицинской помощи (основной и дополнительной медицинской и учетно-отчетной документации)</t>
  </si>
  <si>
    <t>Расчет стоимости проведения повторной экспертизы качества медицинской помощи (основной и дополнительной медицинской и учетно-отчетной документации)</t>
  </si>
  <si>
    <t>4.1</t>
  </si>
  <si>
    <t>4.1.1</t>
  </si>
  <si>
    <t>4.1.2</t>
  </si>
  <si>
    <t>4.2.3</t>
  </si>
  <si>
    <t>4.1.3</t>
  </si>
  <si>
    <t>4.1.4</t>
  </si>
  <si>
    <t>4.2</t>
  </si>
  <si>
    <t>4.2.1</t>
  </si>
  <si>
    <t>4.2.2</t>
  </si>
  <si>
    <t>4.2.4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</si>
  <si>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</si>
  <si>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</si>
  <si>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</si>
  <si>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</si>
  <si>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</si>
  <si>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</si>
  <si>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</si>
  <si>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</si>
  <si>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</si>
  <si>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</si>
  <si>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2.3.1</t>
  </si>
  <si>
    <t>2.3.3</t>
  </si>
  <si>
    <t>2.3.2</t>
  </si>
  <si>
    <t>Расчёт стоимости проведения экспертизы качества медицинской помощи</t>
  </si>
  <si>
    <t>- экспертиза медицинскй карты стационарного больного, истории развития ребёнка, карты ведения родов -1,3;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</si>
</sst>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4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49" fontId="3" fillId="0" borderId="0" xfId="0" applyNumberFormat="1" applyFont="1" applyAlignment="1">
      <alignment horizontal="center"/>
    </xf>
    <xf numFmtId="164" fontId="0" fillId="0" borderId="1" xfId="1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3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3" fontId="0" fillId="0" borderId="1" xfId="1" applyFont="1" applyBorder="1" applyAlignment="1">
      <alignment horizontal="center" vertical="top"/>
    </xf>
    <xf numFmtId="43" fontId="0" fillId="0" borderId="1" xfId="1" applyFont="1" applyBorder="1"/>
    <xf numFmtId="43" fontId="0" fillId="0" borderId="1" xfId="1" applyFont="1" applyBorder="1" applyAlignment="1">
      <alignment vertical="top"/>
    </xf>
    <xf numFmtId="43" fontId="0" fillId="0" borderId="1" xfId="1" applyNumberFormat="1" applyFont="1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/>
    </xf>
    <xf numFmtId="0" fontId="0" fillId="2" borderId="1" xfId="0" applyFill="1" applyBorder="1"/>
    <xf numFmtId="43" fontId="0" fillId="2" borderId="1" xfId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/>
    </xf>
    <xf numFmtId="0" fontId="0" fillId="3" borderId="1" xfId="0" applyFill="1" applyBorder="1"/>
    <xf numFmtId="43" fontId="0" fillId="3" borderId="1" xfId="1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vertical="top"/>
    </xf>
    <xf numFmtId="0" fontId="0" fillId="4" borderId="1" xfId="0" applyFill="1" applyBorder="1"/>
    <xf numFmtId="43" fontId="0" fillId="4" borderId="1" xfId="1" applyNumberFormat="1" applyFont="1" applyFill="1" applyBorder="1" applyAlignment="1">
      <alignment vertical="top"/>
    </xf>
    <xf numFmtId="0" fontId="0" fillId="5" borderId="1" xfId="0" applyFill="1" applyBorder="1" applyAlignment="1">
      <alignment horizontal="center" vertical="top" wrapText="1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Fill="1" applyBorder="1"/>
    <xf numFmtId="43" fontId="0" fillId="5" borderId="1" xfId="1" applyFont="1" applyFill="1" applyBorder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A22" sqref="A22:I22"/>
    </sheetView>
  </sheetViews>
  <sheetFormatPr defaultRowHeight="15" x14ac:dyDescent="0.25"/>
  <cols>
    <col min="3" max="3" width="11.140625" bestFit="1" customWidth="1"/>
    <col min="9" max="9" width="11.140625" customWidth="1"/>
    <col min="12" max="12" width="11.140625" customWidth="1"/>
  </cols>
  <sheetData>
    <row r="1" spans="1:24" ht="30" customHeight="1" x14ac:dyDescent="0.25">
      <c r="A1" s="55" t="s">
        <v>238</v>
      </c>
      <c r="B1" s="54"/>
      <c r="C1" s="54"/>
      <c r="D1" s="54"/>
      <c r="E1" s="54"/>
      <c r="F1" s="54"/>
      <c r="G1" s="54"/>
      <c r="H1" s="54"/>
      <c r="I1" s="54"/>
      <c r="J1" s="13"/>
      <c r="K1" s="13"/>
      <c r="L1" s="13"/>
    </row>
    <row r="3" spans="1:24" ht="65.25" customHeight="1" x14ac:dyDescent="0.25">
      <c r="A3" s="56" t="s">
        <v>234</v>
      </c>
      <c r="B3" s="56"/>
      <c r="C3" s="56"/>
      <c r="D3" s="56"/>
      <c r="E3" s="56"/>
      <c r="F3" s="56"/>
      <c r="G3" s="56"/>
      <c r="H3" s="56"/>
      <c r="I3" s="56"/>
      <c r="J3" s="15"/>
      <c r="K3" s="15"/>
      <c r="L3" s="15"/>
      <c r="M3" s="28"/>
    </row>
    <row r="4" spans="1:24" x14ac:dyDescent="0.25">
      <c r="A4" t="s">
        <v>218</v>
      </c>
    </row>
    <row r="5" spans="1:24" ht="12" customHeight="1" x14ac:dyDescent="0.25"/>
    <row r="6" spans="1:24" ht="30" customHeight="1" x14ac:dyDescent="0.25">
      <c r="A6" s="54" t="s">
        <v>265</v>
      </c>
      <c r="B6" s="54"/>
      <c r="C6" s="54"/>
      <c r="D6" s="54"/>
      <c r="E6" s="54"/>
      <c r="F6" s="54"/>
      <c r="G6" s="54"/>
      <c r="H6" s="54"/>
      <c r="I6" s="54"/>
    </row>
    <row r="7" spans="1:24" ht="13.5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24" ht="48.75" customHeight="1" x14ac:dyDescent="0.25">
      <c r="A8" s="54" t="s">
        <v>217</v>
      </c>
      <c r="B8" s="54"/>
      <c r="C8" s="54"/>
      <c r="D8" s="54"/>
      <c r="E8" s="54"/>
      <c r="F8" s="54"/>
      <c r="G8" s="54"/>
      <c r="H8" s="54"/>
      <c r="I8" s="54"/>
    </row>
    <row r="9" spans="1:24" x14ac:dyDescent="0.25">
      <c r="A9" t="s">
        <v>9</v>
      </c>
    </row>
    <row r="10" spans="1:24" x14ac:dyDescent="0.25">
      <c r="A10" t="s">
        <v>29</v>
      </c>
    </row>
    <row r="11" spans="1:24" x14ac:dyDescent="0.25">
      <c r="A11" t="s">
        <v>46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x14ac:dyDescent="0.25">
      <c r="A12" t="s">
        <v>10</v>
      </c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24" x14ac:dyDescent="0.25">
      <c r="A14" t="s">
        <v>11</v>
      </c>
    </row>
    <row r="15" spans="1:24" x14ac:dyDescent="0.25">
      <c r="A15" t="s">
        <v>12</v>
      </c>
    </row>
    <row r="16" spans="1:24" x14ac:dyDescent="0.25">
      <c r="A16" t="s">
        <v>13</v>
      </c>
    </row>
    <row r="17" spans="1:13" x14ac:dyDescent="0.25">
      <c r="A17" t="s">
        <v>48</v>
      </c>
    </row>
    <row r="19" spans="1:13" x14ac:dyDescent="0.25">
      <c r="A19" t="s">
        <v>7</v>
      </c>
    </row>
    <row r="20" spans="1:13" ht="30" customHeight="1" x14ac:dyDescent="0.25">
      <c r="A20" s="53" t="s">
        <v>8</v>
      </c>
      <c r="B20" s="54"/>
      <c r="C20" s="54"/>
      <c r="D20" s="54"/>
      <c r="E20" s="54"/>
      <c r="F20" s="54"/>
      <c r="G20" s="54"/>
      <c r="H20" s="54"/>
      <c r="I20" s="54"/>
    </row>
    <row r="21" spans="1:13" ht="31.5" customHeight="1" x14ac:dyDescent="0.25">
      <c r="A21" s="53" t="s">
        <v>297</v>
      </c>
      <c r="B21" s="54"/>
      <c r="C21" s="54"/>
      <c r="D21" s="54"/>
      <c r="E21" s="54"/>
      <c r="F21" s="54"/>
      <c r="G21" s="54"/>
      <c r="H21" s="54"/>
      <c r="I21" s="54"/>
    </row>
    <row r="22" spans="1:13" ht="31.5" customHeight="1" x14ac:dyDescent="0.25">
      <c r="A22" s="53" t="s">
        <v>100</v>
      </c>
      <c r="B22" s="54"/>
      <c r="C22" s="54"/>
      <c r="D22" s="54"/>
      <c r="E22" s="54"/>
      <c r="F22" s="54"/>
      <c r="G22" s="54"/>
      <c r="H22" s="54"/>
      <c r="I22" s="54"/>
      <c r="J22" s="53"/>
      <c r="K22" s="54"/>
      <c r="L22" s="54"/>
      <c r="M22" s="54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x14ac:dyDescent="0.25">
      <c r="A24" t="s">
        <v>215</v>
      </c>
    </row>
    <row r="25" spans="1:13" x14ac:dyDescent="0.25">
      <c r="A25" t="s">
        <v>0</v>
      </c>
    </row>
    <row r="26" spans="1:13" x14ac:dyDescent="0.25">
      <c r="A26" t="s">
        <v>1</v>
      </c>
    </row>
    <row r="27" spans="1:13" x14ac:dyDescent="0.25">
      <c r="A27" t="s">
        <v>2</v>
      </c>
    </row>
    <row r="28" spans="1:13" x14ac:dyDescent="0.25">
      <c r="A28" t="s">
        <v>3</v>
      </c>
    </row>
    <row r="30" spans="1:13" x14ac:dyDescent="0.25">
      <c r="A30" t="s">
        <v>216</v>
      </c>
    </row>
    <row r="31" spans="1:13" x14ac:dyDescent="0.25">
      <c r="A31" t="s">
        <v>214</v>
      </c>
    </row>
    <row r="32" spans="1:13" x14ac:dyDescent="0.25">
      <c r="A32" t="s">
        <v>4</v>
      </c>
    </row>
    <row r="33" spans="1:1" x14ac:dyDescent="0.25">
      <c r="A33" t="s">
        <v>5</v>
      </c>
    </row>
    <row r="34" spans="1:1" x14ac:dyDescent="0.25">
      <c r="A34" t="s">
        <v>6</v>
      </c>
    </row>
  </sheetData>
  <mergeCells count="9">
    <mergeCell ref="A20:I20"/>
    <mergeCell ref="A21:I21"/>
    <mergeCell ref="A22:I22"/>
    <mergeCell ref="J22:M22"/>
    <mergeCell ref="A1:I1"/>
    <mergeCell ref="A3:I3"/>
    <mergeCell ref="A6:I6"/>
    <mergeCell ref="L11:X11"/>
    <mergeCell ref="A8:I8"/>
  </mergeCells>
  <pageMargins left="0.78740157480314965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40" workbookViewId="0">
      <selection activeCell="E51" sqref="E51"/>
    </sheetView>
  </sheetViews>
  <sheetFormatPr defaultRowHeight="15" x14ac:dyDescent="0.25"/>
  <cols>
    <col min="2" max="2" width="26.7109375" customWidth="1"/>
    <col min="3" max="3" width="34.85546875" customWidth="1"/>
    <col min="4" max="4" width="23.42578125" customWidth="1"/>
    <col min="5" max="5" width="15.42578125" customWidth="1"/>
    <col min="6" max="6" width="16.42578125" customWidth="1"/>
    <col min="7" max="7" width="17.42578125" customWidth="1"/>
    <col min="8" max="8" width="14.5703125" customWidth="1"/>
    <col min="9" max="9" width="13.7109375" customWidth="1"/>
  </cols>
  <sheetData>
    <row r="1" spans="1:9" x14ac:dyDescent="0.25">
      <c r="A1" s="57" t="s">
        <v>296</v>
      </c>
      <c r="B1" s="58"/>
      <c r="C1" s="58"/>
      <c r="D1" s="58"/>
      <c r="E1" s="58"/>
      <c r="F1" s="58"/>
      <c r="G1" s="58"/>
      <c r="H1" s="58"/>
      <c r="I1" s="59"/>
    </row>
    <row r="2" spans="1:9" ht="120" x14ac:dyDescent="0.25">
      <c r="A2" s="5"/>
      <c r="B2" s="29" t="s">
        <v>14</v>
      </c>
      <c r="C2" s="29" t="s">
        <v>15</v>
      </c>
      <c r="D2" s="30" t="s">
        <v>16</v>
      </c>
      <c r="E2" s="30" t="s">
        <v>266</v>
      </c>
      <c r="F2" s="37" t="s">
        <v>267</v>
      </c>
      <c r="G2" s="30" t="s">
        <v>230</v>
      </c>
      <c r="H2" s="31" t="s">
        <v>255</v>
      </c>
      <c r="I2" s="31" t="s">
        <v>268</v>
      </c>
    </row>
    <row r="3" spans="1:9" x14ac:dyDescent="0.25">
      <c r="A3" s="5">
        <v>1</v>
      </c>
      <c r="B3" s="29">
        <v>2</v>
      </c>
      <c r="C3" s="29">
        <v>3</v>
      </c>
      <c r="D3" s="30">
        <v>4</v>
      </c>
      <c r="E3" s="30">
        <v>5</v>
      </c>
      <c r="F3" s="38" t="s">
        <v>235</v>
      </c>
      <c r="G3" s="32" t="s">
        <v>236</v>
      </c>
      <c r="H3" s="32" t="s">
        <v>237</v>
      </c>
      <c r="I3" s="32" t="s">
        <v>256</v>
      </c>
    </row>
    <row r="4" spans="1:9" x14ac:dyDescent="0.25">
      <c r="A4" s="12" t="s">
        <v>31</v>
      </c>
      <c r="B4" s="9" t="s">
        <v>17</v>
      </c>
      <c r="C4" s="3"/>
      <c r="D4" s="3"/>
      <c r="E4" s="3"/>
      <c r="F4" s="39"/>
      <c r="G4" s="3"/>
      <c r="H4" s="3"/>
      <c r="I4" s="3"/>
    </row>
    <row r="5" spans="1:9" ht="30" x14ac:dyDescent="0.25">
      <c r="A5" s="12" t="s">
        <v>32</v>
      </c>
      <c r="B5" s="10" t="s">
        <v>18</v>
      </c>
      <c r="C5" s="3"/>
      <c r="D5" s="3"/>
      <c r="E5" s="3"/>
      <c r="F5" s="39"/>
      <c r="G5" s="3"/>
      <c r="H5" s="3"/>
      <c r="I5" s="3"/>
    </row>
    <row r="6" spans="1:9" ht="30" x14ac:dyDescent="0.25">
      <c r="A6" s="60" t="s">
        <v>33</v>
      </c>
      <c r="B6" s="67" t="s">
        <v>231</v>
      </c>
      <c r="C6" s="6" t="s">
        <v>19</v>
      </c>
      <c r="D6" s="5" t="s">
        <v>20</v>
      </c>
      <c r="E6" s="7">
        <f>7500*0.05*(1+1*0.5)</f>
        <v>562.5</v>
      </c>
      <c r="F6" s="40">
        <f t="shared" ref="F6:F37" si="0">E6/2</f>
        <v>281.25</v>
      </c>
      <c r="G6" s="33">
        <f t="shared" ref="G6:G37" si="1">E6*0.2</f>
        <v>112.5</v>
      </c>
      <c r="H6" s="33">
        <f t="shared" ref="H6:H37" si="2">E6*0.15</f>
        <v>84.375</v>
      </c>
      <c r="I6" s="33">
        <f t="shared" ref="I6:I37" si="3">E6-F6-G6-H6</f>
        <v>84.375</v>
      </c>
    </row>
    <row r="7" spans="1:9" ht="30" x14ac:dyDescent="0.25">
      <c r="A7" s="61"/>
      <c r="B7" s="68"/>
      <c r="C7" s="6" t="s">
        <v>21</v>
      </c>
      <c r="D7" s="5" t="s">
        <v>22</v>
      </c>
      <c r="E7" s="7">
        <f>7500*0.05*(1+2*0.5)</f>
        <v>750</v>
      </c>
      <c r="F7" s="40">
        <f t="shared" si="0"/>
        <v>375</v>
      </c>
      <c r="G7" s="33">
        <f t="shared" si="1"/>
        <v>150</v>
      </c>
      <c r="H7" s="33">
        <f t="shared" si="2"/>
        <v>112.5</v>
      </c>
      <c r="I7" s="33">
        <f t="shared" si="3"/>
        <v>112.5</v>
      </c>
    </row>
    <row r="8" spans="1:9" x14ac:dyDescent="0.25">
      <c r="A8" s="61"/>
      <c r="B8" s="68"/>
      <c r="C8" s="5" t="s">
        <v>23</v>
      </c>
      <c r="D8" s="5" t="s">
        <v>24</v>
      </c>
      <c r="E8" s="7">
        <f>7500*0.05*(1+3*0.5)</f>
        <v>937.5</v>
      </c>
      <c r="F8" s="40">
        <f t="shared" si="0"/>
        <v>468.75</v>
      </c>
      <c r="G8" s="33">
        <f t="shared" si="1"/>
        <v>187.5</v>
      </c>
      <c r="H8" s="33">
        <f t="shared" si="2"/>
        <v>140.625</v>
      </c>
      <c r="I8" s="33">
        <f t="shared" si="3"/>
        <v>140.625</v>
      </c>
    </row>
    <row r="9" spans="1:9" x14ac:dyDescent="0.25">
      <c r="A9" s="62"/>
      <c r="B9" s="69"/>
      <c r="C9" s="5" t="s">
        <v>25</v>
      </c>
      <c r="D9" s="5" t="s">
        <v>26</v>
      </c>
      <c r="E9" s="7">
        <f>7500*0.05*(1+4*0.5)</f>
        <v>1125</v>
      </c>
      <c r="F9" s="40">
        <f t="shared" si="0"/>
        <v>562.5</v>
      </c>
      <c r="G9" s="33">
        <f t="shared" si="1"/>
        <v>225</v>
      </c>
      <c r="H9" s="33">
        <f t="shared" si="2"/>
        <v>168.75</v>
      </c>
      <c r="I9" s="33">
        <f t="shared" si="3"/>
        <v>168.75</v>
      </c>
    </row>
    <row r="10" spans="1:9" ht="30" x14ac:dyDescent="0.25">
      <c r="A10" s="60" t="s">
        <v>34</v>
      </c>
      <c r="B10" s="67" t="s">
        <v>232</v>
      </c>
      <c r="C10" s="6" t="s">
        <v>19</v>
      </c>
      <c r="D10" s="5" t="s">
        <v>20</v>
      </c>
      <c r="E10" s="7">
        <f>7500*0.05*(1+1*0.5)</f>
        <v>562.5</v>
      </c>
      <c r="F10" s="40">
        <f t="shared" si="0"/>
        <v>281.25</v>
      </c>
      <c r="G10" s="33">
        <f t="shared" si="1"/>
        <v>112.5</v>
      </c>
      <c r="H10" s="33">
        <f t="shared" si="2"/>
        <v>84.375</v>
      </c>
      <c r="I10" s="33">
        <f t="shared" si="3"/>
        <v>84.375</v>
      </c>
    </row>
    <row r="11" spans="1:9" ht="30" x14ac:dyDescent="0.25">
      <c r="A11" s="61"/>
      <c r="B11" s="68"/>
      <c r="C11" s="6" t="s">
        <v>21</v>
      </c>
      <c r="D11" s="5" t="s">
        <v>22</v>
      </c>
      <c r="E11" s="7">
        <f>7500*0.05*(1+2*0.5)</f>
        <v>750</v>
      </c>
      <c r="F11" s="40">
        <f t="shared" si="0"/>
        <v>375</v>
      </c>
      <c r="G11" s="33">
        <f t="shared" si="1"/>
        <v>150</v>
      </c>
      <c r="H11" s="33">
        <f t="shared" si="2"/>
        <v>112.5</v>
      </c>
      <c r="I11" s="33">
        <f t="shared" si="3"/>
        <v>112.5</v>
      </c>
    </row>
    <row r="12" spans="1:9" x14ac:dyDescent="0.25">
      <c r="A12" s="61"/>
      <c r="B12" s="68"/>
      <c r="C12" s="5" t="s">
        <v>23</v>
      </c>
      <c r="D12" s="5" t="s">
        <v>24</v>
      </c>
      <c r="E12" s="7">
        <f>7500*0.05*(1+3*0.5)</f>
        <v>937.5</v>
      </c>
      <c r="F12" s="40">
        <f t="shared" si="0"/>
        <v>468.75</v>
      </c>
      <c r="G12" s="33">
        <f t="shared" si="1"/>
        <v>187.5</v>
      </c>
      <c r="H12" s="33">
        <f t="shared" si="2"/>
        <v>140.625</v>
      </c>
      <c r="I12" s="33">
        <f t="shared" si="3"/>
        <v>140.625</v>
      </c>
    </row>
    <row r="13" spans="1:9" x14ac:dyDescent="0.25">
      <c r="A13" s="62"/>
      <c r="B13" s="69"/>
      <c r="C13" s="5" t="s">
        <v>25</v>
      </c>
      <c r="D13" s="5" t="s">
        <v>26</v>
      </c>
      <c r="E13" s="7">
        <f>7500*0.05*(1+4*0.5)</f>
        <v>1125</v>
      </c>
      <c r="F13" s="40">
        <f t="shared" si="0"/>
        <v>562.5</v>
      </c>
      <c r="G13" s="33">
        <f t="shared" si="1"/>
        <v>225</v>
      </c>
      <c r="H13" s="33">
        <f t="shared" si="2"/>
        <v>168.75</v>
      </c>
      <c r="I13" s="33">
        <f t="shared" si="3"/>
        <v>168.75</v>
      </c>
    </row>
    <row r="14" spans="1:9" ht="30" x14ac:dyDescent="0.25">
      <c r="A14" s="60" t="s">
        <v>44</v>
      </c>
      <c r="B14" s="66" t="s">
        <v>27</v>
      </c>
      <c r="C14" s="6" t="s">
        <v>19</v>
      </c>
      <c r="D14" s="5" t="s">
        <v>63</v>
      </c>
      <c r="E14" s="7">
        <f>7500*0.07*(1.3+1*0.5)</f>
        <v>945</v>
      </c>
      <c r="F14" s="40">
        <f t="shared" si="0"/>
        <v>472.5</v>
      </c>
      <c r="G14" s="33">
        <f t="shared" si="1"/>
        <v>189</v>
      </c>
      <c r="H14" s="33">
        <f t="shared" si="2"/>
        <v>141.75</v>
      </c>
      <c r="I14" s="33">
        <f t="shared" si="3"/>
        <v>141.75</v>
      </c>
    </row>
    <row r="15" spans="1:9" ht="30" x14ac:dyDescent="0.25">
      <c r="A15" s="61"/>
      <c r="B15" s="64"/>
      <c r="C15" s="6" t="s">
        <v>21</v>
      </c>
      <c r="D15" s="5" t="s">
        <v>64</v>
      </c>
      <c r="E15" s="7">
        <f>7500*0.07*(1.3+2*0.5)</f>
        <v>1207.5</v>
      </c>
      <c r="F15" s="40">
        <f t="shared" si="0"/>
        <v>603.75</v>
      </c>
      <c r="G15" s="33">
        <f t="shared" si="1"/>
        <v>241.5</v>
      </c>
      <c r="H15" s="33">
        <f t="shared" si="2"/>
        <v>181.125</v>
      </c>
      <c r="I15" s="33">
        <f t="shared" si="3"/>
        <v>181.125</v>
      </c>
    </row>
    <row r="16" spans="1:9" x14ac:dyDescent="0.25">
      <c r="A16" s="61"/>
      <c r="B16" s="64"/>
      <c r="C16" s="5" t="s">
        <v>23</v>
      </c>
      <c r="D16" s="5" t="s">
        <v>103</v>
      </c>
      <c r="E16" s="7">
        <f>7500*0.07*(1.3+3*0.5)</f>
        <v>1470</v>
      </c>
      <c r="F16" s="40">
        <f t="shared" si="0"/>
        <v>735</v>
      </c>
      <c r="G16" s="33">
        <f t="shared" si="1"/>
        <v>294</v>
      </c>
      <c r="H16" s="33">
        <f t="shared" si="2"/>
        <v>220.5</v>
      </c>
      <c r="I16" s="33">
        <f t="shared" si="3"/>
        <v>220.5</v>
      </c>
    </row>
    <row r="17" spans="1:9" x14ac:dyDescent="0.25">
      <c r="A17" s="62"/>
      <c r="B17" s="65"/>
      <c r="C17" s="5" t="s">
        <v>25</v>
      </c>
      <c r="D17" s="5" t="s">
        <v>65</v>
      </c>
      <c r="E17" s="7">
        <f>7500*0.07*(1.3+4*0.5)</f>
        <v>1732.5</v>
      </c>
      <c r="F17" s="40">
        <f t="shared" si="0"/>
        <v>866.25</v>
      </c>
      <c r="G17" s="33">
        <f t="shared" si="1"/>
        <v>346.5</v>
      </c>
      <c r="H17" s="33">
        <f t="shared" si="2"/>
        <v>259.875</v>
      </c>
      <c r="I17" s="33">
        <f t="shared" si="3"/>
        <v>259.875</v>
      </c>
    </row>
    <row r="18" spans="1:9" ht="30" x14ac:dyDescent="0.25">
      <c r="A18" s="60" t="s">
        <v>233</v>
      </c>
      <c r="B18" s="63" t="s">
        <v>45</v>
      </c>
      <c r="C18" s="6" t="s">
        <v>19</v>
      </c>
      <c r="D18" s="5" t="s">
        <v>66</v>
      </c>
      <c r="E18" s="7">
        <f>7500*0.06*(1.3+1*0.5)</f>
        <v>810</v>
      </c>
      <c r="F18" s="40">
        <f t="shared" si="0"/>
        <v>405</v>
      </c>
      <c r="G18" s="33">
        <f t="shared" si="1"/>
        <v>162</v>
      </c>
      <c r="H18" s="33">
        <f t="shared" si="2"/>
        <v>121.5</v>
      </c>
      <c r="I18" s="33">
        <f t="shared" si="3"/>
        <v>121.5</v>
      </c>
    </row>
    <row r="19" spans="1:9" ht="30" x14ac:dyDescent="0.25">
      <c r="A19" s="61"/>
      <c r="B19" s="64"/>
      <c r="C19" s="6" t="s">
        <v>21</v>
      </c>
      <c r="D19" s="5" t="s">
        <v>67</v>
      </c>
      <c r="E19" s="7">
        <f>7500*0.06*(1.3+2*0.5)</f>
        <v>1035</v>
      </c>
      <c r="F19" s="40">
        <f t="shared" si="0"/>
        <v>517.5</v>
      </c>
      <c r="G19" s="33">
        <f t="shared" si="1"/>
        <v>207</v>
      </c>
      <c r="H19" s="33">
        <f t="shared" si="2"/>
        <v>155.25</v>
      </c>
      <c r="I19" s="33">
        <f t="shared" si="3"/>
        <v>155.25</v>
      </c>
    </row>
    <row r="20" spans="1:9" x14ac:dyDescent="0.25">
      <c r="A20" s="61"/>
      <c r="B20" s="64"/>
      <c r="C20" s="5" t="s">
        <v>23</v>
      </c>
      <c r="D20" s="5" t="s">
        <v>68</v>
      </c>
      <c r="E20" s="7">
        <f>7500*0.06*(1.3+3*0.5)</f>
        <v>1260</v>
      </c>
      <c r="F20" s="40">
        <f t="shared" si="0"/>
        <v>630</v>
      </c>
      <c r="G20" s="33">
        <f t="shared" si="1"/>
        <v>252</v>
      </c>
      <c r="H20" s="33">
        <f t="shared" si="2"/>
        <v>189</v>
      </c>
      <c r="I20" s="33">
        <f t="shared" si="3"/>
        <v>189</v>
      </c>
    </row>
    <row r="21" spans="1:9" x14ac:dyDescent="0.25">
      <c r="A21" s="62"/>
      <c r="B21" s="65"/>
      <c r="C21" s="5" t="s">
        <v>25</v>
      </c>
      <c r="D21" s="5" t="s">
        <v>69</v>
      </c>
      <c r="E21" s="7">
        <f>7500*0.06*(1.3+4*0.5)</f>
        <v>1485</v>
      </c>
      <c r="F21" s="40">
        <f t="shared" si="0"/>
        <v>742.5</v>
      </c>
      <c r="G21" s="33">
        <f t="shared" si="1"/>
        <v>297</v>
      </c>
      <c r="H21" s="33">
        <f t="shared" si="2"/>
        <v>222.75</v>
      </c>
      <c r="I21" s="33">
        <f t="shared" si="3"/>
        <v>222.75</v>
      </c>
    </row>
    <row r="22" spans="1:9" x14ac:dyDescent="0.25">
      <c r="A22" s="11" t="s">
        <v>35</v>
      </c>
      <c r="B22" s="16" t="s">
        <v>30</v>
      </c>
      <c r="C22" s="17"/>
      <c r="D22" s="18"/>
      <c r="E22" s="7"/>
      <c r="F22" s="40">
        <f t="shared" si="0"/>
        <v>0</v>
      </c>
      <c r="G22" s="33">
        <f t="shared" si="1"/>
        <v>0</v>
      </c>
      <c r="H22" s="33">
        <f t="shared" si="2"/>
        <v>0</v>
      </c>
      <c r="I22" s="33">
        <f t="shared" si="3"/>
        <v>0</v>
      </c>
    </row>
    <row r="23" spans="1:9" ht="30" x14ac:dyDescent="0.25">
      <c r="A23" s="60" t="s">
        <v>52</v>
      </c>
      <c r="B23" s="67" t="s">
        <v>243</v>
      </c>
      <c r="C23" s="6" t="s">
        <v>19</v>
      </c>
      <c r="D23" s="5" t="s">
        <v>36</v>
      </c>
      <c r="E23" s="7">
        <f>7500*0.05*(1+1*0.8)</f>
        <v>675</v>
      </c>
      <c r="F23" s="40">
        <f t="shared" si="0"/>
        <v>337.5</v>
      </c>
      <c r="G23" s="33">
        <f t="shared" si="1"/>
        <v>135</v>
      </c>
      <c r="H23" s="33">
        <f t="shared" si="2"/>
        <v>101.25</v>
      </c>
      <c r="I23" s="33">
        <f t="shared" si="3"/>
        <v>101.25</v>
      </c>
    </row>
    <row r="24" spans="1:9" ht="30" x14ac:dyDescent="0.25">
      <c r="A24" s="61"/>
      <c r="B24" s="68"/>
      <c r="C24" s="6" t="s">
        <v>21</v>
      </c>
      <c r="D24" s="5" t="s">
        <v>37</v>
      </c>
      <c r="E24" s="7">
        <f>7500*0.05*(1+2*0.8)</f>
        <v>975</v>
      </c>
      <c r="F24" s="40">
        <f t="shared" si="0"/>
        <v>487.5</v>
      </c>
      <c r="G24" s="33">
        <f t="shared" si="1"/>
        <v>195</v>
      </c>
      <c r="H24" s="33">
        <f t="shared" si="2"/>
        <v>146.25</v>
      </c>
      <c r="I24" s="33">
        <f t="shared" si="3"/>
        <v>146.25</v>
      </c>
    </row>
    <row r="25" spans="1:9" x14ac:dyDescent="0.25">
      <c r="A25" s="61"/>
      <c r="B25" s="68"/>
      <c r="C25" s="5" t="s">
        <v>23</v>
      </c>
      <c r="D25" s="5" t="s">
        <v>38</v>
      </c>
      <c r="E25" s="7">
        <f>7500*0.05*(1+3*0.8)</f>
        <v>1275.0000000000002</v>
      </c>
      <c r="F25" s="40">
        <f t="shared" si="0"/>
        <v>637.50000000000011</v>
      </c>
      <c r="G25" s="33">
        <f t="shared" si="1"/>
        <v>255.00000000000006</v>
      </c>
      <c r="H25" s="33">
        <f t="shared" si="2"/>
        <v>191.25000000000003</v>
      </c>
      <c r="I25" s="33">
        <f t="shared" si="3"/>
        <v>191.25000000000003</v>
      </c>
    </row>
    <row r="26" spans="1:9" x14ac:dyDescent="0.25">
      <c r="A26" s="62"/>
      <c r="B26" s="69"/>
      <c r="C26" s="5" t="s">
        <v>25</v>
      </c>
      <c r="D26" s="5" t="s">
        <v>39</v>
      </c>
      <c r="E26" s="7">
        <f>7500*0.05*(1+4*0.8)</f>
        <v>1575</v>
      </c>
      <c r="F26" s="40">
        <f t="shared" si="0"/>
        <v>787.5</v>
      </c>
      <c r="G26" s="33">
        <f t="shared" si="1"/>
        <v>315</v>
      </c>
      <c r="H26" s="33">
        <f t="shared" si="2"/>
        <v>236.25</v>
      </c>
      <c r="I26" s="33">
        <f t="shared" si="3"/>
        <v>236.25</v>
      </c>
    </row>
    <row r="27" spans="1:9" ht="30" x14ac:dyDescent="0.25">
      <c r="A27" s="60" t="s">
        <v>241</v>
      </c>
      <c r="B27" s="67" t="s">
        <v>232</v>
      </c>
      <c r="C27" s="6" t="s">
        <v>19</v>
      </c>
      <c r="D27" s="5" t="s">
        <v>36</v>
      </c>
      <c r="E27" s="7">
        <f>7500*0.05*(1+1*0.8)</f>
        <v>675</v>
      </c>
      <c r="F27" s="40">
        <f t="shared" si="0"/>
        <v>337.5</v>
      </c>
      <c r="G27" s="33">
        <f t="shared" si="1"/>
        <v>135</v>
      </c>
      <c r="H27" s="33">
        <f t="shared" si="2"/>
        <v>101.25</v>
      </c>
      <c r="I27" s="33">
        <f t="shared" si="3"/>
        <v>101.25</v>
      </c>
    </row>
    <row r="28" spans="1:9" ht="30" x14ac:dyDescent="0.25">
      <c r="A28" s="61"/>
      <c r="B28" s="68"/>
      <c r="C28" s="6" t="s">
        <v>21</v>
      </c>
      <c r="D28" s="5" t="s">
        <v>37</v>
      </c>
      <c r="E28" s="7">
        <f>7500*0.05*(1+2*0.8)</f>
        <v>975</v>
      </c>
      <c r="F28" s="40">
        <f t="shared" si="0"/>
        <v>487.5</v>
      </c>
      <c r="G28" s="33">
        <f t="shared" si="1"/>
        <v>195</v>
      </c>
      <c r="H28" s="33">
        <f t="shared" si="2"/>
        <v>146.25</v>
      </c>
      <c r="I28" s="33">
        <f t="shared" si="3"/>
        <v>146.25</v>
      </c>
    </row>
    <row r="29" spans="1:9" x14ac:dyDescent="0.25">
      <c r="A29" s="61"/>
      <c r="B29" s="68"/>
      <c r="C29" s="5" t="s">
        <v>23</v>
      </c>
      <c r="D29" s="5" t="s">
        <v>38</v>
      </c>
      <c r="E29" s="7">
        <f>7500*0.05*(1+3*0.8)</f>
        <v>1275.0000000000002</v>
      </c>
      <c r="F29" s="40">
        <f t="shared" si="0"/>
        <v>637.50000000000011</v>
      </c>
      <c r="G29" s="33">
        <f t="shared" si="1"/>
        <v>255.00000000000006</v>
      </c>
      <c r="H29" s="33">
        <f t="shared" si="2"/>
        <v>191.25000000000003</v>
      </c>
      <c r="I29" s="33">
        <f t="shared" si="3"/>
        <v>191.25000000000003</v>
      </c>
    </row>
    <row r="30" spans="1:9" x14ac:dyDescent="0.25">
      <c r="A30" s="62"/>
      <c r="B30" s="69"/>
      <c r="C30" s="5" t="s">
        <v>25</v>
      </c>
      <c r="D30" s="5" t="s">
        <v>39</v>
      </c>
      <c r="E30" s="7">
        <f>7500*0.05*(1+4*0.8)</f>
        <v>1575</v>
      </c>
      <c r="F30" s="40">
        <f t="shared" si="0"/>
        <v>787.5</v>
      </c>
      <c r="G30" s="33">
        <f t="shared" si="1"/>
        <v>315</v>
      </c>
      <c r="H30" s="33">
        <f t="shared" si="2"/>
        <v>236.25</v>
      </c>
      <c r="I30" s="33">
        <f t="shared" si="3"/>
        <v>236.25</v>
      </c>
    </row>
    <row r="31" spans="1:9" ht="30" x14ac:dyDescent="0.25">
      <c r="A31" s="60" t="s">
        <v>53</v>
      </c>
      <c r="B31" s="66" t="s">
        <v>27</v>
      </c>
      <c r="C31" s="6" t="s">
        <v>19</v>
      </c>
      <c r="D31" s="5" t="s">
        <v>60</v>
      </c>
      <c r="E31" s="7">
        <f>7500*0.07*(1.3+1*0.8)</f>
        <v>1102.5</v>
      </c>
      <c r="F31" s="40">
        <f t="shared" si="0"/>
        <v>551.25</v>
      </c>
      <c r="G31" s="33">
        <f t="shared" si="1"/>
        <v>220.5</v>
      </c>
      <c r="H31" s="33">
        <f t="shared" si="2"/>
        <v>165.375</v>
      </c>
      <c r="I31" s="33">
        <f t="shared" si="3"/>
        <v>165.375</v>
      </c>
    </row>
    <row r="32" spans="1:9" ht="30" x14ac:dyDescent="0.25">
      <c r="A32" s="61"/>
      <c r="B32" s="64"/>
      <c r="C32" s="6" t="s">
        <v>21</v>
      </c>
      <c r="D32" s="5" t="s">
        <v>61</v>
      </c>
      <c r="E32" s="7">
        <f>7500*0.07*(1.3+2*0.8)</f>
        <v>1522.5000000000002</v>
      </c>
      <c r="F32" s="40">
        <f t="shared" si="0"/>
        <v>761.25000000000011</v>
      </c>
      <c r="G32" s="33">
        <f t="shared" si="1"/>
        <v>304.50000000000006</v>
      </c>
      <c r="H32" s="33">
        <f t="shared" si="2"/>
        <v>228.37500000000003</v>
      </c>
      <c r="I32" s="33">
        <f t="shared" si="3"/>
        <v>228.37500000000003</v>
      </c>
    </row>
    <row r="33" spans="1:9" x14ac:dyDescent="0.25">
      <c r="A33" s="61"/>
      <c r="B33" s="64"/>
      <c r="C33" s="5" t="s">
        <v>23</v>
      </c>
      <c r="D33" s="5" t="s">
        <v>62</v>
      </c>
      <c r="E33" s="7">
        <f>7500*0.07*(1.3+3*0.8)</f>
        <v>1942.5</v>
      </c>
      <c r="F33" s="40">
        <f t="shared" si="0"/>
        <v>971.25</v>
      </c>
      <c r="G33" s="33">
        <f t="shared" si="1"/>
        <v>388.5</v>
      </c>
      <c r="H33" s="33">
        <f t="shared" si="2"/>
        <v>291.375</v>
      </c>
      <c r="I33" s="33">
        <f t="shared" si="3"/>
        <v>291.375</v>
      </c>
    </row>
    <row r="34" spans="1:9" x14ac:dyDescent="0.25">
      <c r="A34" s="62"/>
      <c r="B34" s="65"/>
      <c r="C34" s="5" t="s">
        <v>25</v>
      </c>
      <c r="D34" s="5" t="s">
        <v>43</v>
      </c>
      <c r="E34" s="7">
        <f>7500*0.07*(1.3+4*0.8)</f>
        <v>2362.5</v>
      </c>
      <c r="F34" s="40">
        <f t="shared" si="0"/>
        <v>1181.25</v>
      </c>
      <c r="G34" s="33">
        <f t="shared" si="1"/>
        <v>472.5</v>
      </c>
      <c r="H34" s="33">
        <f t="shared" si="2"/>
        <v>354.375</v>
      </c>
      <c r="I34" s="33">
        <f t="shared" si="3"/>
        <v>354.375</v>
      </c>
    </row>
    <row r="35" spans="1:9" ht="30" x14ac:dyDescent="0.25">
      <c r="A35" s="60" t="s">
        <v>242</v>
      </c>
      <c r="B35" s="63" t="s">
        <v>45</v>
      </c>
      <c r="C35" s="6" t="s">
        <v>19</v>
      </c>
      <c r="D35" s="5" t="s">
        <v>54</v>
      </c>
      <c r="E35" s="19">
        <f>7500*0.06*(1.3+1*0.8)</f>
        <v>945</v>
      </c>
      <c r="F35" s="40">
        <f t="shared" si="0"/>
        <v>472.5</v>
      </c>
      <c r="G35" s="33">
        <f t="shared" si="1"/>
        <v>189</v>
      </c>
      <c r="H35" s="33">
        <f t="shared" si="2"/>
        <v>141.75</v>
      </c>
      <c r="I35" s="33">
        <f t="shared" si="3"/>
        <v>141.75</v>
      </c>
    </row>
    <row r="36" spans="1:9" ht="30" x14ac:dyDescent="0.25">
      <c r="A36" s="61"/>
      <c r="B36" s="64"/>
      <c r="C36" s="6" t="s">
        <v>21</v>
      </c>
      <c r="D36" s="5" t="s">
        <v>55</v>
      </c>
      <c r="E36" s="19">
        <f>7500*0.06*(1.3+2*0.8)</f>
        <v>1305.0000000000002</v>
      </c>
      <c r="F36" s="40">
        <f t="shared" si="0"/>
        <v>652.50000000000011</v>
      </c>
      <c r="G36" s="33">
        <f t="shared" si="1"/>
        <v>261.00000000000006</v>
      </c>
      <c r="H36" s="33">
        <f t="shared" si="2"/>
        <v>195.75000000000003</v>
      </c>
      <c r="I36" s="33">
        <f t="shared" si="3"/>
        <v>195.75000000000003</v>
      </c>
    </row>
    <row r="37" spans="1:9" x14ac:dyDescent="0.25">
      <c r="A37" s="61"/>
      <c r="B37" s="64"/>
      <c r="C37" s="5" t="s">
        <v>23</v>
      </c>
      <c r="D37" s="5" t="s">
        <v>56</v>
      </c>
      <c r="E37" s="19">
        <f>7500*0.06*(1.3+3*0.8)</f>
        <v>1665</v>
      </c>
      <c r="F37" s="40">
        <f t="shared" si="0"/>
        <v>832.5</v>
      </c>
      <c r="G37" s="33">
        <f t="shared" si="1"/>
        <v>333</v>
      </c>
      <c r="H37" s="33">
        <f t="shared" si="2"/>
        <v>249.75</v>
      </c>
      <c r="I37" s="33">
        <f t="shared" si="3"/>
        <v>249.75</v>
      </c>
    </row>
    <row r="38" spans="1:9" x14ac:dyDescent="0.25">
      <c r="A38" s="62"/>
      <c r="B38" s="65"/>
      <c r="C38" s="5" t="s">
        <v>25</v>
      </c>
      <c r="D38" s="5" t="s">
        <v>57</v>
      </c>
      <c r="E38" s="19">
        <f>7500*0.06*(1.3+4*0.8)</f>
        <v>2025</v>
      </c>
      <c r="F38" s="40">
        <f t="shared" ref="F38:F69" si="4">E38/2</f>
        <v>1012.5</v>
      </c>
      <c r="G38" s="33">
        <f t="shared" ref="G38:G72" si="5">E38*0.2</f>
        <v>405</v>
      </c>
      <c r="H38" s="33">
        <f t="shared" ref="H38:H72" si="6">E38*0.15</f>
        <v>303.75</v>
      </c>
      <c r="I38" s="33">
        <f t="shared" ref="I38:I69" si="7">E38-F38-G38-H38</f>
        <v>303.75</v>
      </c>
    </row>
    <row r="39" spans="1:9" x14ac:dyDescent="0.25">
      <c r="A39" s="20" t="s">
        <v>58</v>
      </c>
      <c r="B39" s="8" t="s">
        <v>59</v>
      </c>
      <c r="C39" s="5"/>
      <c r="D39" s="5"/>
      <c r="E39" s="5"/>
      <c r="F39" s="40">
        <f t="shared" si="4"/>
        <v>0</v>
      </c>
      <c r="G39" s="33">
        <f t="shared" si="5"/>
        <v>0</v>
      </c>
      <c r="H39" s="33">
        <f t="shared" si="6"/>
        <v>0</v>
      </c>
      <c r="I39" s="33">
        <f t="shared" si="7"/>
        <v>0</v>
      </c>
    </row>
    <row r="40" spans="1:9" ht="30" x14ac:dyDescent="0.25">
      <c r="A40" s="60" t="s">
        <v>70</v>
      </c>
      <c r="B40" s="67" t="s">
        <v>247</v>
      </c>
      <c r="C40" s="6" t="s">
        <v>19</v>
      </c>
      <c r="D40" s="5" t="s">
        <v>72</v>
      </c>
      <c r="E40" s="21">
        <f>7500*0.05*(1+1*1)</f>
        <v>750</v>
      </c>
      <c r="F40" s="40">
        <f t="shared" si="4"/>
        <v>375</v>
      </c>
      <c r="G40" s="33">
        <f t="shared" si="5"/>
        <v>150</v>
      </c>
      <c r="H40" s="33">
        <f t="shared" si="6"/>
        <v>112.5</v>
      </c>
      <c r="I40" s="33">
        <f t="shared" si="7"/>
        <v>112.5</v>
      </c>
    </row>
    <row r="41" spans="1:9" ht="30" x14ac:dyDescent="0.25">
      <c r="A41" s="61"/>
      <c r="B41" s="68"/>
      <c r="C41" s="6" t="s">
        <v>21</v>
      </c>
      <c r="D41" s="5" t="s">
        <v>73</v>
      </c>
      <c r="E41" s="21">
        <f>7500*0.05*(1+2*1)</f>
        <v>1125</v>
      </c>
      <c r="F41" s="40">
        <f t="shared" si="4"/>
        <v>562.5</v>
      </c>
      <c r="G41" s="33">
        <f t="shared" si="5"/>
        <v>225</v>
      </c>
      <c r="H41" s="33">
        <f t="shared" si="6"/>
        <v>168.75</v>
      </c>
      <c r="I41" s="33">
        <f t="shared" si="7"/>
        <v>168.75</v>
      </c>
    </row>
    <row r="42" spans="1:9" x14ac:dyDescent="0.25">
      <c r="A42" s="61"/>
      <c r="B42" s="68"/>
      <c r="C42" s="5" t="s">
        <v>23</v>
      </c>
      <c r="D42" s="5" t="s">
        <v>74</v>
      </c>
      <c r="E42" s="21">
        <f>7500*0.05*(1+3*1)</f>
        <v>1500</v>
      </c>
      <c r="F42" s="40">
        <f t="shared" si="4"/>
        <v>750</v>
      </c>
      <c r="G42" s="33">
        <f t="shared" si="5"/>
        <v>300</v>
      </c>
      <c r="H42" s="33">
        <f t="shared" si="6"/>
        <v>225</v>
      </c>
      <c r="I42" s="33">
        <f t="shared" si="7"/>
        <v>225</v>
      </c>
    </row>
    <row r="43" spans="1:9" x14ac:dyDescent="0.25">
      <c r="A43" s="62"/>
      <c r="B43" s="69"/>
      <c r="C43" s="5" t="s">
        <v>25</v>
      </c>
      <c r="D43" s="5" t="s">
        <v>75</v>
      </c>
      <c r="E43" s="21">
        <f>7500*0.05*(1+4*1)</f>
        <v>1875</v>
      </c>
      <c r="F43" s="40">
        <f t="shared" si="4"/>
        <v>937.5</v>
      </c>
      <c r="G43" s="33">
        <f t="shared" si="5"/>
        <v>375</v>
      </c>
      <c r="H43" s="33">
        <f t="shared" si="6"/>
        <v>281.25</v>
      </c>
      <c r="I43" s="33">
        <f t="shared" si="7"/>
        <v>281.25</v>
      </c>
    </row>
    <row r="44" spans="1:9" ht="30" x14ac:dyDescent="0.25">
      <c r="A44" s="60" t="s">
        <v>71</v>
      </c>
      <c r="B44" s="67" t="s">
        <v>245</v>
      </c>
      <c r="C44" s="6" t="s">
        <v>19</v>
      </c>
      <c r="D44" s="5" t="s">
        <v>72</v>
      </c>
      <c r="E44" s="21">
        <f>7500*0.05*(1+1*1)</f>
        <v>750</v>
      </c>
      <c r="F44" s="40">
        <f t="shared" si="4"/>
        <v>375</v>
      </c>
      <c r="G44" s="33">
        <f t="shared" si="5"/>
        <v>150</v>
      </c>
      <c r="H44" s="33">
        <f t="shared" si="6"/>
        <v>112.5</v>
      </c>
      <c r="I44" s="33">
        <f t="shared" si="7"/>
        <v>112.5</v>
      </c>
    </row>
    <row r="45" spans="1:9" ht="30" x14ac:dyDescent="0.25">
      <c r="A45" s="61"/>
      <c r="B45" s="68"/>
      <c r="C45" s="6" t="s">
        <v>21</v>
      </c>
      <c r="D45" s="5" t="s">
        <v>73</v>
      </c>
      <c r="E45" s="21">
        <f>7500*0.05*(1+2*1)</f>
        <v>1125</v>
      </c>
      <c r="F45" s="40">
        <f t="shared" si="4"/>
        <v>562.5</v>
      </c>
      <c r="G45" s="33">
        <f t="shared" si="5"/>
        <v>225</v>
      </c>
      <c r="H45" s="33">
        <f t="shared" si="6"/>
        <v>168.75</v>
      </c>
      <c r="I45" s="33">
        <f t="shared" si="7"/>
        <v>168.75</v>
      </c>
    </row>
    <row r="46" spans="1:9" x14ac:dyDescent="0.25">
      <c r="A46" s="61"/>
      <c r="B46" s="68"/>
      <c r="C46" s="5" t="s">
        <v>23</v>
      </c>
      <c r="D46" s="5" t="s">
        <v>74</v>
      </c>
      <c r="E46" s="21">
        <f>7500*0.05*(1+3*1)</f>
        <v>1500</v>
      </c>
      <c r="F46" s="40">
        <f t="shared" si="4"/>
        <v>750</v>
      </c>
      <c r="G46" s="33">
        <f t="shared" si="5"/>
        <v>300</v>
      </c>
      <c r="H46" s="33">
        <f t="shared" si="6"/>
        <v>225</v>
      </c>
      <c r="I46" s="33">
        <f t="shared" si="7"/>
        <v>225</v>
      </c>
    </row>
    <row r="47" spans="1:9" x14ac:dyDescent="0.25">
      <c r="A47" s="62"/>
      <c r="B47" s="69"/>
      <c r="C47" s="5" t="s">
        <v>25</v>
      </c>
      <c r="D47" s="5" t="s">
        <v>75</v>
      </c>
      <c r="E47" s="21">
        <f>7500*0.05*(1+4*1)</f>
        <v>1875</v>
      </c>
      <c r="F47" s="40">
        <f t="shared" si="4"/>
        <v>937.5</v>
      </c>
      <c r="G47" s="33">
        <f t="shared" si="5"/>
        <v>375</v>
      </c>
      <c r="H47" s="33">
        <f t="shared" si="6"/>
        <v>281.25</v>
      </c>
      <c r="I47" s="33">
        <f t="shared" si="7"/>
        <v>281.25</v>
      </c>
    </row>
    <row r="48" spans="1:9" ht="30" x14ac:dyDescent="0.25">
      <c r="A48" s="60" t="s">
        <v>79</v>
      </c>
      <c r="B48" s="66" t="s">
        <v>246</v>
      </c>
      <c r="C48" s="6" t="s">
        <v>19</v>
      </c>
      <c r="D48" s="5" t="s">
        <v>76</v>
      </c>
      <c r="E48" s="21">
        <f>7500*0.07*(1.3+1*1)</f>
        <v>1207.5</v>
      </c>
      <c r="F48" s="40">
        <f t="shared" si="4"/>
        <v>603.75</v>
      </c>
      <c r="G48" s="33">
        <f t="shared" si="5"/>
        <v>241.5</v>
      </c>
      <c r="H48" s="33">
        <f t="shared" si="6"/>
        <v>181.125</v>
      </c>
      <c r="I48" s="33">
        <f t="shared" si="7"/>
        <v>181.125</v>
      </c>
    </row>
    <row r="49" spans="1:9" ht="30" x14ac:dyDescent="0.25">
      <c r="A49" s="61"/>
      <c r="B49" s="64"/>
      <c r="C49" s="6" t="s">
        <v>21</v>
      </c>
      <c r="D49" s="5" t="s">
        <v>77</v>
      </c>
      <c r="E49" s="21">
        <f>7500*0.07*(1.3+2*1)</f>
        <v>1732.5</v>
      </c>
      <c r="F49" s="40">
        <f t="shared" si="4"/>
        <v>866.25</v>
      </c>
      <c r="G49" s="33">
        <f t="shared" si="5"/>
        <v>346.5</v>
      </c>
      <c r="H49" s="33">
        <f t="shared" si="6"/>
        <v>259.875</v>
      </c>
      <c r="I49" s="33">
        <f t="shared" si="7"/>
        <v>259.875</v>
      </c>
    </row>
    <row r="50" spans="1:9" x14ac:dyDescent="0.25">
      <c r="A50" s="61"/>
      <c r="B50" s="64"/>
      <c r="C50" s="5" t="s">
        <v>23</v>
      </c>
      <c r="D50" s="5" t="s">
        <v>78</v>
      </c>
      <c r="E50" s="21">
        <f>7500*0.07*(1.3+3*1)</f>
        <v>2257.5</v>
      </c>
      <c r="F50" s="40">
        <f t="shared" si="4"/>
        <v>1128.75</v>
      </c>
      <c r="G50" s="33">
        <f t="shared" si="5"/>
        <v>451.5</v>
      </c>
      <c r="H50" s="33">
        <f t="shared" si="6"/>
        <v>338.625</v>
      </c>
      <c r="I50" s="33">
        <f t="shared" si="7"/>
        <v>338.625</v>
      </c>
    </row>
    <row r="51" spans="1:9" x14ac:dyDescent="0.25">
      <c r="A51" s="62"/>
      <c r="B51" s="65"/>
      <c r="C51" s="5" t="s">
        <v>25</v>
      </c>
      <c r="D51" s="5" t="s">
        <v>114</v>
      </c>
      <c r="E51" s="21">
        <f>7500*0.07*(1.3+4*1)</f>
        <v>2782.5</v>
      </c>
      <c r="F51" s="40">
        <f>E51/2</f>
        <v>1391.25</v>
      </c>
      <c r="G51" s="33">
        <f t="shared" si="5"/>
        <v>556.5</v>
      </c>
      <c r="H51" s="33">
        <f t="shared" si="6"/>
        <v>417.375</v>
      </c>
      <c r="I51" s="33">
        <f t="shared" si="7"/>
        <v>417.375</v>
      </c>
    </row>
    <row r="52" spans="1:9" ht="30" x14ac:dyDescent="0.25">
      <c r="A52" s="60" t="s">
        <v>239</v>
      </c>
      <c r="B52" s="63" t="s">
        <v>45</v>
      </c>
      <c r="C52" s="6" t="s">
        <v>19</v>
      </c>
      <c r="D52" s="5" t="s">
        <v>80</v>
      </c>
      <c r="E52" s="19">
        <f>7500*0.06*(1.3+1*1)</f>
        <v>1035</v>
      </c>
      <c r="F52" s="40">
        <f t="shared" si="4"/>
        <v>517.5</v>
      </c>
      <c r="G52" s="33">
        <f t="shared" si="5"/>
        <v>207</v>
      </c>
      <c r="H52" s="33">
        <f t="shared" si="6"/>
        <v>155.25</v>
      </c>
      <c r="I52" s="33">
        <f t="shared" si="7"/>
        <v>155.25</v>
      </c>
    </row>
    <row r="53" spans="1:9" ht="30" x14ac:dyDescent="0.25">
      <c r="A53" s="61"/>
      <c r="B53" s="64"/>
      <c r="C53" s="6" t="s">
        <v>21</v>
      </c>
      <c r="D53" s="5" t="s">
        <v>81</v>
      </c>
      <c r="E53" s="19">
        <f>7500*0.06*(1.3+2*1)</f>
        <v>1485</v>
      </c>
      <c r="F53" s="40">
        <f t="shared" si="4"/>
        <v>742.5</v>
      </c>
      <c r="G53" s="33">
        <f t="shared" si="5"/>
        <v>297</v>
      </c>
      <c r="H53" s="33">
        <f t="shared" si="6"/>
        <v>222.75</v>
      </c>
      <c r="I53" s="33">
        <f t="shared" si="7"/>
        <v>222.75</v>
      </c>
    </row>
    <row r="54" spans="1:9" x14ac:dyDescent="0.25">
      <c r="A54" s="61"/>
      <c r="B54" s="64"/>
      <c r="C54" s="5" t="s">
        <v>23</v>
      </c>
      <c r="D54" s="5" t="s">
        <v>82</v>
      </c>
      <c r="E54" s="19">
        <f>7500*0.06*(1.3+3*1)</f>
        <v>1935</v>
      </c>
      <c r="F54" s="40">
        <f t="shared" si="4"/>
        <v>967.5</v>
      </c>
      <c r="G54" s="33">
        <f t="shared" si="5"/>
        <v>387</v>
      </c>
      <c r="H54" s="33">
        <f t="shared" si="6"/>
        <v>290.25</v>
      </c>
      <c r="I54" s="33">
        <f t="shared" si="7"/>
        <v>290.25</v>
      </c>
    </row>
    <row r="55" spans="1:9" x14ac:dyDescent="0.25">
      <c r="A55" s="62"/>
      <c r="B55" s="65"/>
      <c r="C55" s="5" t="s">
        <v>25</v>
      </c>
      <c r="D55" s="5" t="s">
        <v>83</v>
      </c>
      <c r="E55" s="19">
        <f>7500*0.06*(1.3+4*1)</f>
        <v>2385</v>
      </c>
      <c r="F55" s="40">
        <f t="shared" si="4"/>
        <v>1192.5</v>
      </c>
      <c r="G55" s="33">
        <f t="shared" si="5"/>
        <v>477</v>
      </c>
      <c r="H55" s="33">
        <f t="shared" si="6"/>
        <v>357.75</v>
      </c>
      <c r="I55" s="33">
        <f t="shared" si="7"/>
        <v>357.75</v>
      </c>
    </row>
    <row r="56" spans="1:9" x14ac:dyDescent="0.25">
      <c r="A56" s="22" t="s">
        <v>84</v>
      </c>
      <c r="B56" s="8" t="s">
        <v>85</v>
      </c>
      <c r="C56" s="5"/>
      <c r="D56" s="5"/>
      <c r="E56" s="5"/>
      <c r="F56" s="40">
        <f t="shared" si="4"/>
        <v>0</v>
      </c>
      <c r="G56" s="33">
        <f t="shared" si="5"/>
        <v>0</v>
      </c>
      <c r="H56" s="33">
        <f t="shared" si="6"/>
        <v>0</v>
      </c>
      <c r="I56" s="33">
        <f t="shared" si="7"/>
        <v>0</v>
      </c>
    </row>
    <row r="57" spans="1:9" ht="30" x14ac:dyDescent="0.25">
      <c r="A57" s="60" t="s">
        <v>86</v>
      </c>
      <c r="B57" s="67" t="s">
        <v>247</v>
      </c>
      <c r="C57" s="6" t="s">
        <v>19</v>
      </c>
      <c r="D57" s="5" t="s">
        <v>90</v>
      </c>
      <c r="E57" s="21">
        <f>7500*0.05*(1+1*1.1)</f>
        <v>787.5</v>
      </c>
      <c r="F57" s="40">
        <f t="shared" si="4"/>
        <v>393.75</v>
      </c>
      <c r="G57" s="33">
        <f t="shared" si="5"/>
        <v>157.5</v>
      </c>
      <c r="H57" s="33">
        <f t="shared" si="6"/>
        <v>118.125</v>
      </c>
      <c r="I57" s="33">
        <f t="shared" si="7"/>
        <v>118.125</v>
      </c>
    </row>
    <row r="58" spans="1:9" ht="30" x14ac:dyDescent="0.25">
      <c r="A58" s="61"/>
      <c r="B58" s="68"/>
      <c r="C58" s="6" t="s">
        <v>21</v>
      </c>
      <c r="D58" s="5" t="s">
        <v>89</v>
      </c>
      <c r="E58" s="21">
        <f>7500*0.05*(1+2*1.1)</f>
        <v>1200</v>
      </c>
      <c r="F58" s="40">
        <f t="shared" si="4"/>
        <v>600</v>
      </c>
      <c r="G58" s="33">
        <f t="shared" si="5"/>
        <v>240</v>
      </c>
      <c r="H58" s="33">
        <f t="shared" si="6"/>
        <v>180</v>
      </c>
      <c r="I58" s="33">
        <f t="shared" si="7"/>
        <v>180</v>
      </c>
    </row>
    <row r="59" spans="1:9" x14ac:dyDescent="0.25">
      <c r="A59" s="61"/>
      <c r="B59" s="68"/>
      <c r="C59" s="5" t="s">
        <v>23</v>
      </c>
      <c r="D59" s="5" t="s">
        <v>91</v>
      </c>
      <c r="E59" s="21">
        <f>7500*0.05*(1+3*1.1)</f>
        <v>1612.5000000000002</v>
      </c>
      <c r="F59" s="40">
        <f t="shared" si="4"/>
        <v>806.25000000000011</v>
      </c>
      <c r="G59" s="33">
        <f t="shared" si="5"/>
        <v>322.50000000000006</v>
      </c>
      <c r="H59" s="33">
        <f t="shared" si="6"/>
        <v>241.87500000000003</v>
      </c>
      <c r="I59" s="33">
        <f t="shared" si="7"/>
        <v>241.87500000000003</v>
      </c>
    </row>
    <row r="60" spans="1:9" x14ac:dyDescent="0.25">
      <c r="A60" s="62"/>
      <c r="B60" s="69"/>
      <c r="C60" s="5" t="s">
        <v>25</v>
      </c>
      <c r="D60" s="5" t="s">
        <v>92</v>
      </c>
      <c r="E60" s="21">
        <f>7500*0.05*(1+4*1.1)</f>
        <v>2025.0000000000002</v>
      </c>
      <c r="F60" s="40">
        <f t="shared" si="4"/>
        <v>1012.5000000000001</v>
      </c>
      <c r="G60" s="33">
        <f t="shared" si="5"/>
        <v>405.00000000000006</v>
      </c>
      <c r="H60" s="33">
        <f t="shared" si="6"/>
        <v>303.75</v>
      </c>
      <c r="I60" s="33">
        <f t="shared" si="7"/>
        <v>303.75</v>
      </c>
    </row>
    <row r="61" spans="1:9" ht="30" x14ac:dyDescent="0.25">
      <c r="A61" s="60" t="s">
        <v>87</v>
      </c>
      <c r="B61" s="67" t="s">
        <v>245</v>
      </c>
      <c r="C61" s="6" t="s">
        <v>19</v>
      </c>
      <c r="D61" s="5" t="s">
        <v>90</v>
      </c>
      <c r="E61" s="21">
        <f>7500*0.05*(1+1*1.1)</f>
        <v>787.5</v>
      </c>
      <c r="F61" s="40">
        <f t="shared" si="4"/>
        <v>393.75</v>
      </c>
      <c r="G61" s="33">
        <f t="shared" si="5"/>
        <v>157.5</v>
      </c>
      <c r="H61" s="33">
        <f t="shared" si="6"/>
        <v>118.125</v>
      </c>
      <c r="I61" s="33">
        <f t="shared" si="7"/>
        <v>118.125</v>
      </c>
    </row>
    <row r="62" spans="1:9" ht="30" x14ac:dyDescent="0.25">
      <c r="A62" s="61"/>
      <c r="B62" s="68"/>
      <c r="C62" s="6" t="s">
        <v>21</v>
      </c>
      <c r="D62" s="5" t="s">
        <v>89</v>
      </c>
      <c r="E62" s="21">
        <f>7500*0.05*(1+2*1.1)</f>
        <v>1200</v>
      </c>
      <c r="F62" s="40">
        <f t="shared" si="4"/>
        <v>600</v>
      </c>
      <c r="G62" s="33">
        <f t="shared" si="5"/>
        <v>240</v>
      </c>
      <c r="H62" s="33">
        <f t="shared" si="6"/>
        <v>180</v>
      </c>
      <c r="I62" s="33">
        <f t="shared" si="7"/>
        <v>180</v>
      </c>
    </row>
    <row r="63" spans="1:9" x14ac:dyDescent="0.25">
      <c r="A63" s="61"/>
      <c r="B63" s="68"/>
      <c r="C63" s="5" t="s">
        <v>23</v>
      </c>
      <c r="D63" s="5" t="s">
        <v>91</v>
      </c>
      <c r="E63" s="21">
        <f>7500*0.05*(1+3*1.1)</f>
        <v>1612.5000000000002</v>
      </c>
      <c r="F63" s="40">
        <f t="shared" si="4"/>
        <v>806.25000000000011</v>
      </c>
      <c r="G63" s="33">
        <f t="shared" si="5"/>
        <v>322.50000000000006</v>
      </c>
      <c r="H63" s="33">
        <f t="shared" si="6"/>
        <v>241.87500000000003</v>
      </c>
      <c r="I63" s="33">
        <f t="shared" si="7"/>
        <v>241.87500000000003</v>
      </c>
    </row>
    <row r="64" spans="1:9" x14ac:dyDescent="0.25">
      <c r="A64" s="62"/>
      <c r="B64" s="69"/>
      <c r="C64" s="5" t="s">
        <v>25</v>
      </c>
      <c r="D64" s="5" t="s">
        <v>92</v>
      </c>
      <c r="E64" s="21">
        <f>7500*0.05*(1+4*1.1)</f>
        <v>2025.0000000000002</v>
      </c>
      <c r="F64" s="40">
        <f t="shared" si="4"/>
        <v>1012.5000000000001</v>
      </c>
      <c r="G64" s="33">
        <f t="shared" si="5"/>
        <v>405.00000000000006</v>
      </c>
      <c r="H64" s="33">
        <f t="shared" si="6"/>
        <v>303.75</v>
      </c>
      <c r="I64" s="33">
        <f t="shared" si="7"/>
        <v>303.75</v>
      </c>
    </row>
    <row r="65" spans="1:9" ht="30" x14ac:dyDescent="0.25">
      <c r="A65" s="60" t="s">
        <v>88</v>
      </c>
      <c r="B65" s="66" t="s">
        <v>246</v>
      </c>
      <c r="C65" s="6" t="s">
        <v>19</v>
      </c>
      <c r="D65" s="5" t="s">
        <v>93</v>
      </c>
      <c r="E65" s="21">
        <f>7500*0.07*(1.3+1*1.1)</f>
        <v>1260.0000000000002</v>
      </c>
      <c r="F65" s="40">
        <f t="shared" si="4"/>
        <v>630.00000000000011</v>
      </c>
      <c r="G65" s="33">
        <f t="shared" si="5"/>
        <v>252.00000000000006</v>
      </c>
      <c r="H65" s="33">
        <f t="shared" si="6"/>
        <v>189.00000000000003</v>
      </c>
      <c r="I65" s="33">
        <f t="shared" si="7"/>
        <v>189.00000000000003</v>
      </c>
    </row>
    <row r="66" spans="1:9" ht="30" x14ac:dyDescent="0.25">
      <c r="A66" s="61"/>
      <c r="B66" s="64"/>
      <c r="C66" s="6" t="s">
        <v>21</v>
      </c>
      <c r="D66" s="5" t="s">
        <v>94</v>
      </c>
      <c r="E66" s="21">
        <f>7500*0.07*(1.3+2*1.1)</f>
        <v>1837.5</v>
      </c>
      <c r="F66" s="40">
        <f t="shared" si="4"/>
        <v>918.75</v>
      </c>
      <c r="G66" s="33">
        <f t="shared" si="5"/>
        <v>367.5</v>
      </c>
      <c r="H66" s="33">
        <f t="shared" si="6"/>
        <v>275.625</v>
      </c>
      <c r="I66" s="33">
        <f t="shared" si="7"/>
        <v>275.625</v>
      </c>
    </row>
    <row r="67" spans="1:9" x14ac:dyDescent="0.25">
      <c r="A67" s="61"/>
      <c r="B67" s="64"/>
      <c r="C67" s="5" t="s">
        <v>23</v>
      </c>
      <c r="D67" s="5" t="s">
        <v>95</v>
      </c>
      <c r="E67" s="21">
        <f>7500*0.07*(1.3+3*1.1)</f>
        <v>2415.0000000000005</v>
      </c>
      <c r="F67" s="40">
        <f t="shared" si="4"/>
        <v>1207.5000000000002</v>
      </c>
      <c r="G67" s="33">
        <f t="shared" si="5"/>
        <v>483.00000000000011</v>
      </c>
      <c r="H67" s="33">
        <f t="shared" si="6"/>
        <v>362.25000000000006</v>
      </c>
      <c r="I67" s="33">
        <f t="shared" si="7"/>
        <v>362.25000000000006</v>
      </c>
    </row>
    <row r="68" spans="1:9" x14ac:dyDescent="0.25">
      <c r="A68" s="62"/>
      <c r="B68" s="65"/>
      <c r="C68" s="5" t="s">
        <v>25</v>
      </c>
      <c r="D68" s="5" t="s">
        <v>122</v>
      </c>
      <c r="E68" s="21">
        <f>7500*0.07*(1.3+4*1.1)</f>
        <v>2992.5</v>
      </c>
      <c r="F68" s="40">
        <f t="shared" si="4"/>
        <v>1496.25</v>
      </c>
      <c r="G68" s="33">
        <f t="shared" si="5"/>
        <v>598.5</v>
      </c>
      <c r="H68" s="33">
        <f t="shared" si="6"/>
        <v>448.875</v>
      </c>
      <c r="I68" s="33">
        <f t="shared" si="7"/>
        <v>448.875</v>
      </c>
    </row>
    <row r="69" spans="1:9" ht="30" x14ac:dyDescent="0.25">
      <c r="A69" s="60" t="s">
        <v>244</v>
      </c>
      <c r="B69" s="63" t="s">
        <v>45</v>
      </c>
      <c r="C69" s="6" t="s">
        <v>19</v>
      </c>
      <c r="D69" s="5" t="s">
        <v>96</v>
      </c>
      <c r="E69" s="21">
        <f>7500*0.06*(1.3+1*1.1)</f>
        <v>1080.0000000000002</v>
      </c>
      <c r="F69" s="40">
        <f t="shared" si="4"/>
        <v>540.00000000000011</v>
      </c>
      <c r="G69" s="33">
        <f t="shared" si="5"/>
        <v>216.00000000000006</v>
      </c>
      <c r="H69" s="33">
        <f t="shared" si="6"/>
        <v>162.00000000000003</v>
      </c>
      <c r="I69" s="33">
        <f t="shared" si="7"/>
        <v>162.00000000000003</v>
      </c>
    </row>
    <row r="70" spans="1:9" ht="30" x14ac:dyDescent="0.25">
      <c r="A70" s="61"/>
      <c r="B70" s="64"/>
      <c r="C70" s="6" t="s">
        <v>21</v>
      </c>
      <c r="D70" s="5" t="s">
        <v>97</v>
      </c>
      <c r="E70" s="21">
        <f>7500*0.06*(1.3+2*1.1)</f>
        <v>1575</v>
      </c>
      <c r="F70" s="40">
        <f t="shared" ref="F70:F101" si="8">E70/2</f>
        <v>787.5</v>
      </c>
      <c r="G70" s="33">
        <f t="shared" si="5"/>
        <v>315</v>
      </c>
      <c r="H70" s="33">
        <f t="shared" si="6"/>
        <v>236.25</v>
      </c>
      <c r="I70" s="33">
        <f t="shared" ref="I70:I101" si="9">E70-F70-G70-H70</f>
        <v>236.25</v>
      </c>
    </row>
    <row r="71" spans="1:9" x14ac:dyDescent="0.25">
      <c r="A71" s="61"/>
      <c r="B71" s="64"/>
      <c r="C71" s="5" t="s">
        <v>23</v>
      </c>
      <c r="D71" s="5" t="s">
        <v>98</v>
      </c>
      <c r="E71" s="21">
        <f>7500*0.06*(1.3+3*1.1)</f>
        <v>2070.0000000000005</v>
      </c>
      <c r="F71" s="40">
        <f t="shared" si="8"/>
        <v>1035.0000000000002</v>
      </c>
      <c r="G71" s="33">
        <f t="shared" si="5"/>
        <v>414.00000000000011</v>
      </c>
      <c r="H71" s="33">
        <f t="shared" si="6"/>
        <v>310.50000000000006</v>
      </c>
      <c r="I71" s="33">
        <f t="shared" si="9"/>
        <v>310.50000000000006</v>
      </c>
    </row>
    <row r="72" spans="1:9" x14ac:dyDescent="0.25">
      <c r="A72" s="62"/>
      <c r="B72" s="65"/>
      <c r="C72" s="5" t="s">
        <v>25</v>
      </c>
      <c r="D72" s="5" t="s">
        <v>99</v>
      </c>
      <c r="E72" s="21">
        <f>7500*0.06*(1.3+4*1.1)</f>
        <v>2565</v>
      </c>
      <c r="F72" s="40">
        <f t="shared" si="8"/>
        <v>1282.5</v>
      </c>
      <c r="G72" s="33">
        <f t="shared" si="5"/>
        <v>513</v>
      </c>
      <c r="H72" s="33">
        <f t="shared" si="6"/>
        <v>384.75</v>
      </c>
      <c r="I72" s="33">
        <f t="shared" si="9"/>
        <v>384.75</v>
      </c>
    </row>
  </sheetData>
  <mergeCells count="33">
    <mergeCell ref="A57:A60"/>
    <mergeCell ref="A65:A68"/>
    <mergeCell ref="A69:A72"/>
    <mergeCell ref="B57:B60"/>
    <mergeCell ref="B65:B68"/>
    <mergeCell ref="B69:B72"/>
    <mergeCell ref="A61:A64"/>
    <mergeCell ref="B61:B64"/>
    <mergeCell ref="B40:B43"/>
    <mergeCell ref="A40:A43"/>
    <mergeCell ref="B48:B51"/>
    <mergeCell ref="A48:A51"/>
    <mergeCell ref="A52:A55"/>
    <mergeCell ref="B52:B55"/>
    <mergeCell ref="A44:A47"/>
    <mergeCell ref="B44:B47"/>
    <mergeCell ref="B23:B26"/>
    <mergeCell ref="B31:B34"/>
    <mergeCell ref="B35:B38"/>
    <mergeCell ref="A23:A26"/>
    <mergeCell ref="A31:A34"/>
    <mergeCell ref="A35:A38"/>
    <mergeCell ref="B27:B30"/>
    <mergeCell ref="A27:A30"/>
    <mergeCell ref="A1:I1"/>
    <mergeCell ref="A18:A21"/>
    <mergeCell ref="B18:B21"/>
    <mergeCell ref="B14:B17"/>
    <mergeCell ref="A14:A17"/>
    <mergeCell ref="A6:A9"/>
    <mergeCell ref="B6:B9"/>
    <mergeCell ref="A10:A13"/>
    <mergeCell ref="B10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D82" sqref="D82"/>
    </sheetView>
  </sheetViews>
  <sheetFormatPr defaultRowHeight="15" x14ac:dyDescent="0.25"/>
  <cols>
    <col min="2" max="2" width="26.7109375" customWidth="1"/>
    <col min="3" max="3" width="34.85546875" customWidth="1"/>
    <col min="4" max="4" width="23.42578125" customWidth="1"/>
    <col min="5" max="5" width="14.7109375" customWidth="1"/>
    <col min="6" max="6" width="17" customWidth="1"/>
    <col min="7" max="7" width="17.7109375" customWidth="1"/>
    <col min="8" max="8" width="16" customWidth="1"/>
    <col min="9" max="9" width="17.140625" customWidth="1"/>
  </cols>
  <sheetData>
    <row r="1" spans="1:9" x14ac:dyDescent="0.25">
      <c r="A1" s="70" t="s">
        <v>270</v>
      </c>
      <c r="B1" s="71"/>
      <c r="C1" s="71"/>
      <c r="D1" s="71"/>
      <c r="E1" s="71"/>
      <c r="F1" s="71"/>
      <c r="G1" s="71"/>
      <c r="H1" s="71"/>
      <c r="I1" s="71"/>
    </row>
    <row r="2" spans="1:9" ht="90" customHeight="1" x14ac:dyDescent="0.25">
      <c r="A2" s="5"/>
      <c r="B2" s="29" t="s">
        <v>14</v>
      </c>
      <c r="C2" s="29" t="s">
        <v>15</v>
      </c>
      <c r="D2" s="30" t="s">
        <v>16</v>
      </c>
      <c r="E2" s="30" t="s">
        <v>266</v>
      </c>
      <c r="F2" s="41" t="s">
        <v>267</v>
      </c>
      <c r="G2" s="30" t="s">
        <v>230</v>
      </c>
      <c r="H2" s="31" t="s">
        <v>255</v>
      </c>
      <c r="I2" s="31" t="s">
        <v>269</v>
      </c>
    </row>
    <row r="3" spans="1:9" x14ac:dyDescent="0.2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42" t="s">
        <v>235</v>
      </c>
      <c r="G3" s="32" t="s">
        <v>236</v>
      </c>
      <c r="H3" s="32" t="s">
        <v>237</v>
      </c>
      <c r="I3" s="32" t="s">
        <v>256</v>
      </c>
    </row>
    <row r="4" spans="1:9" x14ac:dyDescent="0.25">
      <c r="A4" s="25">
        <v>2</v>
      </c>
      <c r="B4" s="24" t="s">
        <v>106</v>
      </c>
      <c r="C4" s="4"/>
      <c r="D4" s="4"/>
      <c r="E4" s="4"/>
      <c r="F4" s="43"/>
      <c r="G4" s="3"/>
      <c r="H4" s="3"/>
      <c r="I4" s="3"/>
    </row>
    <row r="5" spans="1:9" x14ac:dyDescent="0.25">
      <c r="A5" s="22" t="s">
        <v>123</v>
      </c>
      <c r="B5" s="9" t="s">
        <v>18</v>
      </c>
      <c r="C5" s="3"/>
      <c r="D5" s="3"/>
      <c r="E5" s="3"/>
      <c r="F5" s="43"/>
      <c r="G5" s="3"/>
      <c r="H5" s="3"/>
      <c r="I5" s="3"/>
    </row>
    <row r="6" spans="1:9" ht="30" x14ac:dyDescent="0.25">
      <c r="A6" s="60" t="s">
        <v>129</v>
      </c>
      <c r="B6" s="67" t="s">
        <v>251</v>
      </c>
      <c r="C6" s="6" t="s">
        <v>19</v>
      </c>
      <c r="D6" s="5" t="s">
        <v>47</v>
      </c>
      <c r="E6" s="7">
        <f>7500*0.06*(1+1*0.5)</f>
        <v>675</v>
      </c>
      <c r="F6" s="44">
        <f>E6/2</f>
        <v>337.5</v>
      </c>
      <c r="G6" s="35">
        <f>E6*0.2</f>
        <v>135</v>
      </c>
      <c r="H6" s="35">
        <f>E6*0.15</f>
        <v>101.25</v>
      </c>
      <c r="I6" s="35">
        <f>E6*0.15</f>
        <v>101.25</v>
      </c>
    </row>
    <row r="7" spans="1:9" ht="30" x14ac:dyDescent="0.25">
      <c r="A7" s="61"/>
      <c r="B7" s="68"/>
      <c r="C7" s="6" t="s">
        <v>21</v>
      </c>
      <c r="D7" s="5" t="s">
        <v>49</v>
      </c>
      <c r="E7" s="7">
        <f>7500*0.06*(1+2*0.5)</f>
        <v>900</v>
      </c>
      <c r="F7" s="44">
        <f t="shared" ref="F7:F70" si="0">E7/2</f>
        <v>450</v>
      </c>
      <c r="G7" s="35">
        <f t="shared" ref="G7:G70" si="1">E7*0.2</f>
        <v>180</v>
      </c>
      <c r="H7" s="35">
        <f t="shared" ref="H7:H70" si="2">E7*0.15</f>
        <v>135</v>
      </c>
      <c r="I7" s="35">
        <f t="shared" ref="I7:I70" si="3">E7*0.15</f>
        <v>135</v>
      </c>
    </row>
    <row r="8" spans="1:9" x14ac:dyDescent="0.25">
      <c r="A8" s="61"/>
      <c r="B8" s="68"/>
      <c r="C8" s="5" t="s">
        <v>23</v>
      </c>
      <c r="D8" s="5" t="s">
        <v>50</v>
      </c>
      <c r="E8" s="7">
        <f>7500*0.06*(1+3*0.5)</f>
        <v>1125</v>
      </c>
      <c r="F8" s="44">
        <f t="shared" si="0"/>
        <v>562.5</v>
      </c>
      <c r="G8" s="35">
        <f t="shared" si="1"/>
        <v>225</v>
      </c>
      <c r="H8" s="35">
        <f t="shared" si="2"/>
        <v>168.75</v>
      </c>
      <c r="I8" s="35">
        <f t="shared" si="3"/>
        <v>168.75</v>
      </c>
    </row>
    <row r="9" spans="1:9" x14ac:dyDescent="0.25">
      <c r="A9" s="62"/>
      <c r="B9" s="69"/>
      <c r="C9" s="5" t="s">
        <v>25</v>
      </c>
      <c r="D9" s="5" t="s">
        <v>51</v>
      </c>
      <c r="E9" s="7">
        <f>7500*0.06*(1+4*0.5)</f>
        <v>1350</v>
      </c>
      <c r="F9" s="44">
        <f t="shared" si="0"/>
        <v>675</v>
      </c>
      <c r="G9" s="35">
        <f t="shared" si="1"/>
        <v>270</v>
      </c>
      <c r="H9" s="35">
        <f t="shared" si="2"/>
        <v>202.5</v>
      </c>
      <c r="I9" s="35">
        <f t="shared" si="3"/>
        <v>202.5</v>
      </c>
    </row>
    <row r="10" spans="1:9" ht="30" x14ac:dyDescent="0.25">
      <c r="A10" s="60" t="s">
        <v>248</v>
      </c>
      <c r="B10" s="67" t="s">
        <v>252</v>
      </c>
      <c r="C10" s="6" t="s">
        <v>19</v>
      </c>
      <c r="D10" s="5" t="s">
        <v>47</v>
      </c>
      <c r="E10" s="7">
        <f>7500*0.06*(1+1*0.5)</f>
        <v>675</v>
      </c>
      <c r="F10" s="44">
        <f t="shared" si="0"/>
        <v>337.5</v>
      </c>
      <c r="G10" s="35">
        <f t="shared" si="1"/>
        <v>135</v>
      </c>
      <c r="H10" s="35">
        <f t="shared" si="2"/>
        <v>101.25</v>
      </c>
      <c r="I10" s="35">
        <f t="shared" si="3"/>
        <v>101.25</v>
      </c>
    </row>
    <row r="11" spans="1:9" ht="30" x14ac:dyDescent="0.25">
      <c r="A11" s="61"/>
      <c r="B11" s="68"/>
      <c r="C11" s="6" t="s">
        <v>21</v>
      </c>
      <c r="D11" s="5" t="s">
        <v>49</v>
      </c>
      <c r="E11" s="7">
        <f>7500*0.06*(1+2*0.5)</f>
        <v>900</v>
      </c>
      <c r="F11" s="44">
        <f t="shared" si="0"/>
        <v>450</v>
      </c>
      <c r="G11" s="35">
        <f t="shared" si="1"/>
        <v>180</v>
      </c>
      <c r="H11" s="35">
        <f t="shared" si="2"/>
        <v>135</v>
      </c>
      <c r="I11" s="35">
        <f t="shared" si="3"/>
        <v>135</v>
      </c>
    </row>
    <row r="12" spans="1:9" x14ac:dyDescent="0.25">
      <c r="A12" s="61"/>
      <c r="B12" s="68"/>
      <c r="C12" s="5" t="s">
        <v>23</v>
      </c>
      <c r="D12" s="5" t="s">
        <v>50</v>
      </c>
      <c r="E12" s="7">
        <f>7500*0.06*(1+3*0.5)</f>
        <v>1125</v>
      </c>
      <c r="F12" s="44">
        <f t="shared" si="0"/>
        <v>562.5</v>
      </c>
      <c r="G12" s="35">
        <f t="shared" si="1"/>
        <v>225</v>
      </c>
      <c r="H12" s="35">
        <f t="shared" si="2"/>
        <v>168.75</v>
      </c>
      <c r="I12" s="35">
        <f t="shared" si="3"/>
        <v>168.75</v>
      </c>
    </row>
    <row r="13" spans="1:9" x14ac:dyDescent="0.25">
      <c r="A13" s="62"/>
      <c r="B13" s="69"/>
      <c r="C13" s="5" t="s">
        <v>25</v>
      </c>
      <c r="D13" s="5" t="s">
        <v>51</v>
      </c>
      <c r="E13" s="7">
        <f>7500*0.06*(1+4*0.5)</f>
        <v>1350</v>
      </c>
      <c r="F13" s="44">
        <f t="shared" si="0"/>
        <v>675</v>
      </c>
      <c r="G13" s="35">
        <f t="shared" si="1"/>
        <v>270</v>
      </c>
      <c r="H13" s="35">
        <f t="shared" si="2"/>
        <v>202.5</v>
      </c>
      <c r="I13" s="35">
        <f t="shared" si="3"/>
        <v>202.5</v>
      </c>
    </row>
    <row r="14" spans="1:9" ht="30" x14ac:dyDescent="0.25">
      <c r="A14" s="60" t="s">
        <v>249</v>
      </c>
      <c r="B14" s="66" t="s">
        <v>27</v>
      </c>
      <c r="C14" s="6" t="s">
        <v>19</v>
      </c>
      <c r="D14" s="5" t="s">
        <v>101</v>
      </c>
      <c r="E14" s="7">
        <f>7500*0.08*(1.3+1*0.5)</f>
        <v>1080</v>
      </c>
      <c r="F14" s="44">
        <f t="shared" si="0"/>
        <v>540</v>
      </c>
      <c r="G14" s="35">
        <f t="shared" si="1"/>
        <v>216</v>
      </c>
      <c r="H14" s="35">
        <f t="shared" si="2"/>
        <v>162</v>
      </c>
      <c r="I14" s="35">
        <f t="shared" si="3"/>
        <v>162</v>
      </c>
    </row>
    <row r="15" spans="1:9" ht="30" x14ac:dyDescent="0.25">
      <c r="A15" s="61"/>
      <c r="B15" s="64"/>
      <c r="C15" s="6" t="s">
        <v>21</v>
      </c>
      <c r="D15" s="5" t="s">
        <v>102</v>
      </c>
      <c r="E15" s="7">
        <f>7500*0.08*(1.3+2*0.5)</f>
        <v>1380</v>
      </c>
      <c r="F15" s="44">
        <f t="shared" si="0"/>
        <v>690</v>
      </c>
      <c r="G15" s="35">
        <f t="shared" si="1"/>
        <v>276</v>
      </c>
      <c r="H15" s="35">
        <f t="shared" si="2"/>
        <v>207</v>
      </c>
      <c r="I15" s="35">
        <f t="shared" si="3"/>
        <v>207</v>
      </c>
    </row>
    <row r="16" spans="1:9" x14ac:dyDescent="0.25">
      <c r="A16" s="61"/>
      <c r="B16" s="64"/>
      <c r="C16" s="5" t="s">
        <v>23</v>
      </c>
      <c r="D16" s="5" t="s">
        <v>104</v>
      </c>
      <c r="E16" s="7">
        <f>7500*0.08*(1.3+3*0.5)</f>
        <v>1680</v>
      </c>
      <c r="F16" s="44">
        <f t="shared" si="0"/>
        <v>840</v>
      </c>
      <c r="G16" s="35">
        <f t="shared" si="1"/>
        <v>336</v>
      </c>
      <c r="H16" s="35">
        <f t="shared" si="2"/>
        <v>252</v>
      </c>
      <c r="I16" s="35">
        <f t="shared" si="3"/>
        <v>252</v>
      </c>
    </row>
    <row r="17" spans="1:9" x14ac:dyDescent="0.25">
      <c r="A17" s="62"/>
      <c r="B17" s="65"/>
      <c r="C17" s="5" t="s">
        <v>25</v>
      </c>
      <c r="D17" s="5" t="s">
        <v>105</v>
      </c>
      <c r="E17" s="7">
        <f>7500*0.08*(1.3+4*0.5)</f>
        <v>1980</v>
      </c>
      <c r="F17" s="44">
        <f t="shared" si="0"/>
        <v>990</v>
      </c>
      <c r="G17" s="35">
        <f t="shared" si="1"/>
        <v>396</v>
      </c>
      <c r="H17" s="35">
        <f t="shared" si="2"/>
        <v>297</v>
      </c>
      <c r="I17" s="35">
        <f t="shared" si="3"/>
        <v>297</v>
      </c>
    </row>
    <row r="18" spans="1:9" ht="30" x14ac:dyDescent="0.25">
      <c r="A18" s="60" t="s">
        <v>250</v>
      </c>
      <c r="B18" s="63" t="s">
        <v>45</v>
      </c>
      <c r="C18" s="6" t="s">
        <v>19</v>
      </c>
      <c r="D18" s="5" t="s">
        <v>63</v>
      </c>
      <c r="E18" s="7">
        <f>7500*0.07*(1.3+1*0.5)</f>
        <v>945</v>
      </c>
      <c r="F18" s="44">
        <f t="shared" si="0"/>
        <v>472.5</v>
      </c>
      <c r="G18" s="35">
        <f t="shared" si="1"/>
        <v>189</v>
      </c>
      <c r="H18" s="35">
        <f t="shared" si="2"/>
        <v>141.75</v>
      </c>
      <c r="I18" s="35">
        <f t="shared" si="3"/>
        <v>141.75</v>
      </c>
    </row>
    <row r="19" spans="1:9" ht="30" x14ac:dyDescent="0.25">
      <c r="A19" s="61"/>
      <c r="B19" s="64"/>
      <c r="C19" s="6" t="s">
        <v>21</v>
      </c>
      <c r="D19" s="5" t="s">
        <v>64</v>
      </c>
      <c r="E19" s="7">
        <f>7500*0.07*(1.3+2*0.5)</f>
        <v>1207.5</v>
      </c>
      <c r="F19" s="44">
        <f t="shared" si="0"/>
        <v>603.75</v>
      </c>
      <c r="G19" s="35">
        <f t="shared" si="1"/>
        <v>241.5</v>
      </c>
      <c r="H19" s="35">
        <f t="shared" si="2"/>
        <v>181.125</v>
      </c>
      <c r="I19" s="35">
        <f t="shared" si="3"/>
        <v>181.125</v>
      </c>
    </row>
    <row r="20" spans="1:9" x14ac:dyDescent="0.25">
      <c r="A20" s="61"/>
      <c r="B20" s="64"/>
      <c r="C20" s="5" t="s">
        <v>23</v>
      </c>
      <c r="D20" s="5" t="s">
        <v>103</v>
      </c>
      <c r="E20" s="7">
        <f>7500*0.07*(1.3+3*0.5)</f>
        <v>1470</v>
      </c>
      <c r="F20" s="44">
        <f t="shared" si="0"/>
        <v>735</v>
      </c>
      <c r="G20" s="35">
        <f t="shared" si="1"/>
        <v>294</v>
      </c>
      <c r="H20" s="35">
        <f t="shared" si="2"/>
        <v>220.5</v>
      </c>
      <c r="I20" s="35">
        <f t="shared" si="3"/>
        <v>220.5</v>
      </c>
    </row>
    <row r="21" spans="1:9" x14ac:dyDescent="0.25">
      <c r="A21" s="62"/>
      <c r="B21" s="65"/>
      <c r="C21" s="5" t="s">
        <v>25</v>
      </c>
      <c r="D21" s="5" t="s">
        <v>65</v>
      </c>
      <c r="E21" s="7">
        <f>7500*0.07*(1.3+4*0.5)</f>
        <v>1732.5</v>
      </c>
      <c r="F21" s="44">
        <f t="shared" si="0"/>
        <v>866.25</v>
      </c>
      <c r="G21" s="35">
        <f t="shared" si="1"/>
        <v>346.5</v>
      </c>
      <c r="H21" s="35">
        <f t="shared" si="2"/>
        <v>259.875</v>
      </c>
      <c r="I21" s="35">
        <f t="shared" si="3"/>
        <v>259.875</v>
      </c>
    </row>
    <row r="22" spans="1:9" x14ac:dyDescent="0.25">
      <c r="A22" s="20" t="s">
        <v>124</v>
      </c>
      <c r="B22" s="16" t="s">
        <v>30</v>
      </c>
      <c r="C22" s="17"/>
      <c r="D22" s="18"/>
      <c r="E22" s="7"/>
      <c r="F22" s="44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</row>
    <row r="23" spans="1:9" ht="30" x14ac:dyDescent="0.25">
      <c r="A23" s="60" t="s">
        <v>126</v>
      </c>
      <c r="B23" s="67" t="s">
        <v>231</v>
      </c>
      <c r="C23" s="6" t="s">
        <v>19</v>
      </c>
      <c r="D23" s="5" t="s">
        <v>54</v>
      </c>
      <c r="E23" s="7">
        <f>7500*0.06*(1+1*0.8)</f>
        <v>810</v>
      </c>
      <c r="F23" s="44">
        <f t="shared" si="0"/>
        <v>405</v>
      </c>
      <c r="G23" s="35">
        <f t="shared" si="1"/>
        <v>162</v>
      </c>
      <c r="H23" s="35">
        <f t="shared" si="2"/>
        <v>121.5</v>
      </c>
      <c r="I23" s="35">
        <f t="shared" si="3"/>
        <v>121.5</v>
      </c>
    </row>
    <row r="24" spans="1:9" ht="30" x14ac:dyDescent="0.25">
      <c r="A24" s="61"/>
      <c r="B24" s="68"/>
      <c r="C24" s="6" t="s">
        <v>21</v>
      </c>
      <c r="D24" s="5" t="s">
        <v>55</v>
      </c>
      <c r="E24" s="7">
        <f>7500*0.06*(1+2*0.8)</f>
        <v>1170</v>
      </c>
      <c r="F24" s="44">
        <f t="shared" si="0"/>
        <v>585</v>
      </c>
      <c r="G24" s="35">
        <f t="shared" si="1"/>
        <v>234</v>
      </c>
      <c r="H24" s="35">
        <f t="shared" si="2"/>
        <v>175.5</v>
      </c>
      <c r="I24" s="35">
        <f t="shared" si="3"/>
        <v>175.5</v>
      </c>
    </row>
    <row r="25" spans="1:9" x14ac:dyDescent="0.25">
      <c r="A25" s="61"/>
      <c r="B25" s="68"/>
      <c r="C25" s="5" t="s">
        <v>23</v>
      </c>
      <c r="D25" s="5" t="s">
        <v>56</v>
      </c>
      <c r="E25" s="7">
        <f>7500*0.06*(1+3*0.8)</f>
        <v>1530.0000000000002</v>
      </c>
      <c r="F25" s="44">
        <f t="shared" si="0"/>
        <v>765.00000000000011</v>
      </c>
      <c r="G25" s="35">
        <f t="shared" si="1"/>
        <v>306.00000000000006</v>
      </c>
      <c r="H25" s="35">
        <f t="shared" si="2"/>
        <v>229.50000000000003</v>
      </c>
      <c r="I25" s="35">
        <f t="shared" si="3"/>
        <v>229.50000000000003</v>
      </c>
    </row>
    <row r="26" spans="1:9" x14ac:dyDescent="0.25">
      <c r="A26" s="62"/>
      <c r="B26" s="69"/>
      <c r="C26" s="5" t="s">
        <v>25</v>
      </c>
      <c r="D26" s="5" t="s">
        <v>57</v>
      </c>
      <c r="E26" s="7">
        <f>7500*0.06*(1+4*0.8)</f>
        <v>1890</v>
      </c>
      <c r="F26" s="44">
        <f t="shared" si="0"/>
        <v>945</v>
      </c>
      <c r="G26" s="35">
        <f t="shared" si="1"/>
        <v>378</v>
      </c>
      <c r="H26" s="35">
        <f t="shared" si="2"/>
        <v>283.5</v>
      </c>
      <c r="I26" s="35">
        <f t="shared" si="3"/>
        <v>283.5</v>
      </c>
    </row>
    <row r="27" spans="1:9" ht="30" x14ac:dyDescent="0.25">
      <c r="A27" s="60" t="s">
        <v>127</v>
      </c>
      <c r="B27" s="67" t="s">
        <v>232</v>
      </c>
      <c r="C27" s="6" t="s">
        <v>19</v>
      </c>
      <c r="D27" s="5" t="s">
        <v>54</v>
      </c>
      <c r="E27" s="7">
        <f>7500*0.06*(1+1*0.8)</f>
        <v>810</v>
      </c>
      <c r="F27" s="44">
        <f t="shared" si="0"/>
        <v>405</v>
      </c>
      <c r="G27" s="35">
        <f t="shared" si="1"/>
        <v>162</v>
      </c>
      <c r="H27" s="35">
        <f t="shared" si="2"/>
        <v>121.5</v>
      </c>
      <c r="I27" s="35">
        <f t="shared" si="3"/>
        <v>121.5</v>
      </c>
    </row>
    <row r="28" spans="1:9" ht="30" x14ac:dyDescent="0.25">
      <c r="A28" s="61"/>
      <c r="B28" s="68"/>
      <c r="C28" s="6" t="s">
        <v>21</v>
      </c>
      <c r="D28" s="5" t="s">
        <v>55</v>
      </c>
      <c r="E28" s="7">
        <f>7500*0.06*(1+2*0.8)</f>
        <v>1170</v>
      </c>
      <c r="F28" s="44">
        <f t="shared" si="0"/>
        <v>585</v>
      </c>
      <c r="G28" s="35">
        <f t="shared" si="1"/>
        <v>234</v>
      </c>
      <c r="H28" s="35">
        <f t="shared" si="2"/>
        <v>175.5</v>
      </c>
      <c r="I28" s="35">
        <f t="shared" si="3"/>
        <v>175.5</v>
      </c>
    </row>
    <row r="29" spans="1:9" x14ac:dyDescent="0.25">
      <c r="A29" s="61"/>
      <c r="B29" s="68"/>
      <c r="C29" s="5" t="s">
        <v>23</v>
      </c>
      <c r="D29" s="5" t="s">
        <v>56</v>
      </c>
      <c r="E29" s="7">
        <f>7500*0.06*(1+3*0.8)</f>
        <v>1530.0000000000002</v>
      </c>
      <c r="F29" s="44">
        <f t="shared" si="0"/>
        <v>765.00000000000011</v>
      </c>
      <c r="G29" s="35">
        <f t="shared" si="1"/>
        <v>306.00000000000006</v>
      </c>
      <c r="H29" s="35">
        <f t="shared" si="2"/>
        <v>229.50000000000003</v>
      </c>
      <c r="I29" s="35">
        <f t="shared" si="3"/>
        <v>229.50000000000003</v>
      </c>
    </row>
    <row r="30" spans="1:9" x14ac:dyDescent="0.25">
      <c r="A30" s="62"/>
      <c r="B30" s="69"/>
      <c r="C30" s="5" t="s">
        <v>25</v>
      </c>
      <c r="D30" s="5" t="s">
        <v>57</v>
      </c>
      <c r="E30" s="7">
        <f>7500*0.06*(1+4*0.8)</f>
        <v>1890</v>
      </c>
      <c r="F30" s="44">
        <f t="shared" si="0"/>
        <v>945</v>
      </c>
      <c r="G30" s="35">
        <f t="shared" si="1"/>
        <v>378</v>
      </c>
      <c r="H30" s="35">
        <f t="shared" si="2"/>
        <v>283.5</v>
      </c>
      <c r="I30" s="35">
        <f t="shared" si="3"/>
        <v>283.5</v>
      </c>
    </row>
    <row r="31" spans="1:9" ht="30" x14ac:dyDescent="0.25">
      <c r="A31" s="60" t="s">
        <v>128</v>
      </c>
      <c r="B31" s="66" t="s">
        <v>27</v>
      </c>
      <c r="C31" s="6" t="s">
        <v>19</v>
      </c>
      <c r="D31" s="5" t="s">
        <v>222</v>
      </c>
      <c r="E31" s="7">
        <f>7500*0.08*(1.3+1*0.8)</f>
        <v>1260</v>
      </c>
      <c r="F31" s="44">
        <f t="shared" si="0"/>
        <v>630</v>
      </c>
      <c r="G31" s="35">
        <f t="shared" si="1"/>
        <v>252</v>
      </c>
      <c r="H31" s="35">
        <f t="shared" si="2"/>
        <v>189</v>
      </c>
      <c r="I31" s="35">
        <f t="shared" si="3"/>
        <v>189</v>
      </c>
    </row>
    <row r="32" spans="1:9" ht="30" x14ac:dyDescent="0.25">
      <c r="A32" s="61"/>
      <c r="B32" s="64"/>
      <c r="C32" s="6" t="s">
        <v>21</v>
      </c>
      <c r="D32" s="5" t="s">
        <v>223</v>
      </c>
      <c r="E32" s="7">
        <f>7500*0.08*(1.3+2*0.8)</f>
        <v>1740.0000000000002</v>
      </c>
      <c r="F32" s="44">
        <f t="shared" si="0"/>
        <v>870.00000000000011</v>
      </c>
      <c r="G32" s="35">
        <f t="shared" si="1"/>
        <v>348.00000000000006</v>
      </c>
      <c r="H32" s="35">
        <f t="shared" si="2"/>
        <v>261</v>
      </c>
      <c r="I32" s="35">
        <f t="shared" si="3"/>
        <v>261</v>
      </c>
    </row>
    <row r="33" spans="1:9" x14ac:dyDescent="0.25">
      <c r="A33" s="61"/>
      <c r="B33" s="64"/>
      <c r="C33" s="5" t="s">
        <v>23</v>
      </c>
      <c r="D33" s="5" t="s">
        <v>224</v>
      </c>
      <c r="E33" s="7">
        <f>7500*0.08*(1.3+3*0.8)</f>
        <v>2220</v>
      </c>
      <c r="F33" s="44">
        <f t="shared" si="0"/>
        <v>1110</v>
      </c>
      <c r="G33" s="35">
        <f t="shared" si="1"/>
        <v>444</v>
      </c>
      <c r="H33" s="35">
        <f t="shared" si="2"/>
        <v>333</v>
      </c>
      <c r="I33" s="35">
        <f t="shared" si="3"/>
        <v>333</v>
      </c>
    </row>
    <row r="34" spans="1:9" x14ac:dyDescent="0.25">
      <c r="A34" s="62"/>
      <c r="B34" s="65"/>
      <c r="C34" s="5" t="s">
        <v>25</v>
      </c>
      <c r="D34" s="5" t="s">
        <v>225</v>
      </c>
      <c r="E34" s="7">
        <f>7500*0.08*(1.3+4*0.8)</f>
        <v>2700</v>
      </c>
      <c r="F34" s="44">
        <f t="shared" si="0"/>
        <v>1350</v>
      </c>
      <c r="G34" s="35">
        <f t="shared" si="1"/>
        <v>540</v>
      </c>
      <c r="H34" s="35">
        <f t="shared" si="2"/>
        <v>405</v>
      </c>
      <c r="I34" s="35">
        <f t="shared" si="3"/>
        <v>405</v>
      </c>
    </row>
    <row r="35" spans="1:9" ht="30" x14ac:dyDescent="0.25">
      <c r="A35" s="60" t="s">
        <v>253</v>
      </c>
      <c r="B35" s="63" t="s">
        <v>45</v>
      </c>
      <c r="C35" s="6" t="s">
        <v>19</v>
      </c>
      <c r="D35" s="5" t="s">
        <v>40</v>
      </c>
      <c r="E35" s="19">
        <f>7500*0.07*(1.3+1*0.8)</f>
        <v>1102.5</v>
      </c>
      <c r="F35" s="44">
        <f t="shared" si="0"/>
        <v>551.25</v>
      </c>
      <c r="G35" s="35">
        <f t="shared" si="1"/>
        <v>220.5</v>
      </c>
      <c r="H35" s="35">
        <f t="shared" si="2"/>
        <v>165.375</v>
      </c>
      <c r="I35" s="35">
        <f t="shared" si="3"/>
        <v>165.375</v>
      </c>
    </row>
    <row r="36" spans="1:9" ht="30" x14ac:dyDescent="0.25">
      <c r="A36" s="61"/>
      <c r="B36" s="64"/>
      <c r="C36" s="6" t="s">
        <v>21</v>
      </c>
      <c r="D36" s="5" t="s">
        <v>41</v>
      </c>
      <c r="E36" s="19">
        <f>7500*0.07*(1.3+2*0.8)</f>
        <v>1522.5000000000002</v>
      </c>
      <c r="F36" s="44">
        <f t="shared" si="0"/>
        <v>761.25000000000011</v>
      </c>
      <c r="G36" s="35">
        <f t="shared" si="1"/>
        <v>304.50000000000006</v>
      </c>
      <c r="H36" s="35">
        <f t="shared" si="2"/>
        <v>228.37500000000003</v>
      </c>
      <c r="I36" s="35">
        <f t="shared" si="3"/>
        <v>228.37500000000003</v>
      </c>
    </row>
    <row r="37" spans="1:9" x14ac:dyDescent="0.25">
      <c r="A37" s="61"/>
      <c r="B37" s="64"/>
      <c r="C37" s="5" t="s">
        <v>23</v>
      </c>
      <c r="D37" s="5" t="s">
        <v>42</v>
      </c>
      <c r="E37" s="19">
        <f>7500*0.07*(1.3+3*0.8)</f>
        <v>1942.5</v>
      </c>
      <c r="F37" s="44">
        <f t="shared" si="0"/>
        <v>971.25</v>
      </c>
      <c r="G37" s="35">
        <f t="shared" si="1"/>
        <v>388.5</v>
      </c>
      <c r="H37" s="35">
        <f t="shared" si="2"/>
        <v>291.375</v>
      </c>
      <c r="I37" s="35">
        <f t="shared" si="3"/>
        <v>291.375</v>
      </c>
    </row>
    <row r="38" spans="1:9" x14ac:dyDescent="0.25">
      <c r="A38" s="62"/>
      <c r="B38" s="65"/>
      <c r="C38" s="5" t="s">
        <v>25</v>
      </c>
      <c r="D38" s="5" t="s">
        <v>43</v>
      </c>
      <c r="E38" s="19">
        <f>7500*0.07*(1.3+4*0.8)</f>
        <v>2362.5</v>
      </c>
      <c r="F38" s="44">
        <f t="shared" si="0"/>
        <v>1181.25</v>
      </c>
      <c r="G38" s="35">
        <f t="shared" si="1"/>
        <v>472.5</v>
      </c>
      <c r="H38" s="35">
        <f t="shared" si="2"/>
        <v>354.375</v>
      </c>
      <c r="I38" s="35">
        <f t="shared" si="3"/>
        <v>354.375</v>
      </c>
    </row>
    <row r="39" spans="1:9" x14ac:dyDescent="0.25">
      <c r="A39" s="20" t="s">
        <v>125</v>
      </c>
      <c r="B39" s="23" t="s">
        <v>59</v>
      </c>
      <c r="C39" s="5"/>
      <c r="D39" s="5"/>
      <c r="E39" s="5"/>
      <c r="F39" s="44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</row>
    <row r="40" spans="1:9" ht="30" x14ac:dyDescent="0.25">
      <c r="A40" s="60" t="s">
        <v>293</v>
      </c>
      <c r="B40" s="67" t="s">
        <v>240</v>
      </c>
      <c r="C40" s="6" t="s">
        <v>19</v>
      </c>
      <c r="D40" s="5" t="s">
        <v>107</v>
      </c>
      <c r="E40" s="19">
        <f>7500*0.06*(1+1*1)</f>
        <v>900</v>
      </c>
      <c r="F40" s="44">
        <f t="shared" si="0"/>
        <v>450</v>
      </c>
      <c r="G40" s="35">
        <f t="shared" si="1"/>
        <v>180</v>
      </c>
      <c r="H40" s="35">
        <f t="shared" si="2"/>
        <v>135</v>
      </c>
      <c r="I40" s="35">
        <f t="shared" si="3"/>
        <v>135</v>
      </c>
    </row>
    <row r="41" spans="1:9" ht="30" x14ac:dyDescent="0.25">
      <c r="A41" s="61"/>
      <c r="B41" s="68"/>
      <c r="C41" s="6" t="s">
        <v>21</v>
      </c>
      <c r="D41" s="5" t="s">
        <v>108</v>
      </c>
      <c r="E41" s="19">
        <f>7500*0.06*(1+2*1)</f>
        <v>1350</v>
      </c>
      <c r="F41" s="44">
        <f t="shared" si="0"/>
        <v>675</v>
      </c>
      <c r="G41" s="35">
        <f t="shared" si="1"/>
        <v>270</v>
      </c>
      <c r="H41" s="35">
        <f t="shared" si="2"/>
        <v>202.5</v>
      </c>
      <c r="I41" s="35">
        <f t="shared" si="3"/>
        <v>202.5</v>
      </c>
    </row>
    <row r="42" spans="1:9" x14ac:dyDescent="0.25">
      <c r="A42" s="61"/>
      <c r="B42" s="68"/>
      <c r="C42" s="5" t="s">
        <v>23</v>
      </c>
      <c r="D42" s="5" t="s">
        <v>109</v>
      </c>
      <c r="E42" s="19">
        <f>7500*0.06*(1+3*1)</f>
        <v>1800</v>
      </c>
      <c r="F42" s="44">
        <f t="shared" si="0"/>
        <v>900</v>
      </c>
      <c r="G42" s="35">
        <f t="shared" si="1"/>
        <v>360</v>
      </c>
      <c r="H42" s="35">
        <f t="shared" si="2"/>
        <v>270</v>
      </c>
      <c r="I42" s="35">
        <f t="shared" si="3"/>
        <v>270</v>
      </c>
    </row>
    <row r="43" spans="1:9" x14ac:dyDescent="0.25">
      <c r="A43" s="62"/>
      <c r="B43" s="69"/>
      <c r="C43" s="5" t="s">
        <v>25</v>
      </c>
      <c r="D43" s="5" t="s">
        <v>110</v>
      </c>
      <c r="E43" s="19">
        <f>7500*0.06*(1+4*1)</f>
        <v>2250</v>
      </c>
      <c r="F43" s="44">
        <f t="shared" si="0"/>
        <v>1125</v>
      </c>
      <c r="G43" s="35">
        <f t="shared" si="1"/>
        <v>450</v>
      </c>
      <c r="H43" s="35">
        <f t="shared" si="2"/>
        <v>337.5</v>
      </c>
      <c r="I43" s="35">
        <f t="shared" si="3"/>
        <v>337.5</v>
      </c>
    </row>
    <row r="44" spans="1:9" ht="30" x14ac:dyDescent="0.25">
      <c r="A44" s="60" t="s">
        <v>295</v>
      </c>
      <c r="B44" s="67" t="s">
        <v>232</v>
      </c>
      <c r="C44" s="6" t="s">
        <v>19</v>
      </c>
      <c r="D44" s="5" t="s">
        <v>107</v>
      </c>
      <c r="E44" s="19">
        <f>7500*0.06*(1+1*1)</f>
        <v>900</v>
      </c>
      <c r="F44" s="44">
        <f t="shared" si="0"/>
        <v>450</v>
      </c>
      <c r="G44" s="35">
        <f t="shared" si="1"/>
        <v>180</v>
      </c>
      <c r="H44" s="35">
        <f t="shared" si="2"/>
        <v>135</v>
      </c>
      <c r="I44" s="35">
        <f t="shared" si="3"/>
        <v>135</v>
      </c>
    </row>
    <row r="45" spans="1:9" ht="30" x14ac:dyDescent="0.25">
      <c r="A45" s="61"/>
      <c r="B45" s="68"/>
      <c r="C45" s="6" t="s">
        <v>21</v>
      </c>
      <c r="D45" s="5" t="s">
        <v>108</v>
      </c>
      <c r="E45" s="19">
        <f>7500*0.06*(1+2*1)</f>
        <v>1350</v>
      </c>
      <c r="F45" s="44">
        <f t="shared" si="0"/>
        <v>675</v>
      </c>
      <c r="G45" s="35">
        <f t="shared" si="1"/>
        <v>270</v>
      </c>
      <c r="H45" s="35">
        <f t="shared" si="2"/>
        <v>202.5</v>
      </c>
      <c r="I45" s="35">
        <f t="shared" si="3"/>
        <v>202.5</v>
      </c>
    </row>
    <row r="46" spans="1:9" x14ac:dyDescent="0.25">
      <c r="A46" s="61"/>
      <c r="B46" s="68"/>
      <c r="C46" s="5" t="s">
        <v>23</v>
      </c>
      <c r="D46" s="5" t="s">
        <v>109</v>
      </c>
      <c r="E46" s="19">
        <f>7500*0.06*(1+3*1)</f>
        <v>1800</v>
      </c>
      <c r="F46" s="44">
        <f t="shared" si="0"/>
        <v>900</v>
      </c>
      <c r="G46" s="35">
        <f t="shared" si="1"/>
        <v>360</v>
      </c>
      <c r="H46" s="35">
        <f t="shared" si="2"/>
        <v>270</v>
      </c>
      <c r="I46" s="35">
        <f t="shared" si="3"/>
        <v>270</v>
      </c>
    </row>
    <row r="47" spans="1:9" x14ac:dyDescent="0.25">
      <c r="A47" s="62"/>
      <c r="B47" s="69"/>
      <c r="C47" s="5" t="s">
        <v>25</v>
      </c>
      <c r="D47" s="5" t="s">
        <v>110</v>
      </c>
      <c r="E47" s="19">
        <f>7500*0.06*(1+4*1)</f>
        <v>2250</v>
      </c>
      <c r="F47" s="44">
        <f t="shared" si="0"/>
        <v>1125</v>
      </c>
      <c r="G47" s="35">
        <f t="shared" si="1"/>
        <v>450</v>
      </c>
      <c r="H47" s="35">
        <f t="shared" si="2"/>
        <v>337.5</v>
      </c>
      <c r="I47" s="35">
        <f t="shared" si="3"/>
        <v>337.5</v>
      </c>
    </row>
    <row r="48" spans="1:9" ht="30" x14ac:dyDescent="0.25">
      <c r="A48" s="60" t="s">
        <v>294</v>
      </c>
      <c r="B48" s="66" t="s">
        <v>27</v>
      </c>
      <c r="C48" s="6" t="s">
        <v>19</v>
      </c>
      <c r="D48" s="5" t="s">
        <v>111</v>
      </c>
      <c r="E48" s="19">
        <f>7500*0.08*(1.3+1*1)</f>
        <v>1380</v>
      </c>
      <c r="F48" s="44">
        <f t="shared" si="0"/>
        <v>690</v>
      </c>
      <c r="G48" s="35">
        <f t="shared" si="1"/>
        <v>276</v>
      </c>
      <c r="H48" s="35">
        <f t="shared" si="2"/>
        <v>207</v>
      </c>
      <c r="I48" s="35">
        <f t="shared" si="3"/>
        <v>207</v>
      </c>
    </row>
    <row r="49" spans="1:9" ht="30" x14ac:dyDescent="0.25">
      <c r="A49" s="61"/>
      <c r="B49" s="64"/>
      <c r="C49" s="6" t="s">
        <v>21</v>
      </c>
      <c r="D49" s="5" t="s">
        <v>112</v>
      </c>
      <c r="E49" s="19">
        <f>7500*0.08*(1.3+2*1)</f>
        <v>1980</v>
      </c>
      <c r="F49" s="44">
        <f t="shared" si="0"/>
        <v>990</v>
      </c>
      <c r="G49" s="35">
        <f t="shared" si="1"/>
        <v>396</v>
      </c>
      <c r="H49" s="35">
        <f t="shared" si="2"/>
        <v>297</v>
      </c>
      <c r="I49" s="35">
        <f t="shared" si="3"/>
        <v>297</v>
      </c>
    </row>
    <row r="50" spans="1:9" x14ac:dyDescent="0.25">
      <c r="A50" s="61"/>
      <c r="B50" s="64"/>
      <c r="C50" s="5" t="s">
        <v>23</v>
      </c>
      <c r="D50" s="5" t="s">
        <v>113</v>
      </c>
      <c r="E50" s="19">
        <f>7500*0.08*(1.3+3*1)</f>
        <v>2580</v>
      </c>
      <c r="F50" s="44">
        <f t="shared" si="0"/>
        <v>1290</v>
      </c>
      <c r="G50" s="35">
        <f t="shared" si="1"/>
        <v>516</v>
      </c>
      <c r="H50" s="35">
        <f t="shared" si="2"/>
        <v>387</v>
      </c>
      <c r="I50" s="35">
        <f t="shared" si="3"/>
        <v>387</v>
      </c>
    </row>
    <row r="51" spans="1:9" x14ac:dyDescent="0.25">
      <c r="A51" s="62"/>
      <c r="B51" s="65"/>
      <c r="C51" s="5" t="s">
        <v>25</v>
      </c>
      <c r="D51" s="5" t="s">
        <v>219</v>
      </c>
      <c r="E51" s="19">
        <f>7500*0.08*(1.3+4*1)</f>
        <v>3180</v>
      </c>
      <c r="F51" s="44">
        <f t="shared" si="0"/>
        <v>1590</v>
      </c>
      <c r="G51" s="35">
        <f t="shared" si="1"/>
        <v>636</v>
      </c>
      <c r="H51" s="35">
        <f t="shared" si="2"/>
        <v>477</v>
      </c>
      <c r="I51" s="35">
        <f t="shared" si="3"/>
        <v>477</v>
      </c>
    </row>
    <row r="52" spans="1:9" ht="30" x14ac:dyDescent="0.25">
      <c r="A52" s="60" t="s">
        <v>264</v>
      </c>
      <c r="B52" s="63" t="s">
        <v>45</v>
      </c>
      <c r="C52" s="6" t="s">
        <v>19</v>
      </c>
      <c r="D52" s="5" t="s">
        <v>76</v>
      </c>
      <c r="E52" s="19">
        <f>7500*0.07*(1.3+1*1)</f>
        <v>1207.5</v>
      </c>
      <c r="F52" s="44">
        <f t="shared" si="0"/>
        <v>603.75</v>
      </c>
      <c r="G52" s="35">
        <f t="shared" si="1"/>
        <v>241.5</v>
      </c>
      <c r="H52" s="35">
        <f t="shared" si="2"/>
        <v>181.125</v>
      </c>
      <c r="I52" s="35">
        <f t="shared" si="3"/>
        <v>181.125</v>
      </c>
    </row>
    <row r="53" spans="1:9" ht="30" x14ac:dyDescent="0.25">
      <c r="A53" s="61"/>
      <c r="B53" s="64"/>
      <c r="C53" s="6" t="s">
        <v>21</v>
      </c>
      <c r="D53" s="5" t="s">
        <v>77</v>
      </c>
      <c r="E53" s="19">
        <f>7500*0.07*(1.3+2*1)</f>
        <v>1732.5</v>
      </c>
      <c r="F53" s="44">
        <f t="shared" si="0"/>
        <v>866.25</v>
      </c>
      <c r="G53" s="35">
        <f t="shared" si="1"/>
        <v>346.5</v>
      </c>
      <c r="H53" s="35">
        <f t="shared" si="2"/>
        <v>259.875</v>
      </c>
      <c r="I53" s="35">
        <f t="shared" si="3"/>
        <v>259.875</v>
      </c>
    </row>
    <row r="54" spans="1:9" x14ac:dyDescent="0.25">
      <c r="A54" s="61"/>
      <c r="B54" s="64"/>
      <c r="C54" s="5" t="s">
        <v>23</v>
      </c>
      <c r="D54" s="5" t="s">
        <v>78</v>
      </c>
      <c r="E54" s="19">
        <f>7500*0.07*(1.3+3*1)</f>
        <v>2257.5</v>
      </c>
      <c r="F54" s="44">
        <f t="shared" si="0"/>
        <v>1128.75</v>
      </c>
      <c r="G54" s="35">
        <f t="shared" si="1"/>
        <v>451.5</v>
      </c>
      <c r="H54" s="35">
        <f t="shared" si="2"/>
        <v>338.625</v>
      </c>
      <c r="I54" s="35">
        <f t="shared" si="3"/>
        <v>338.625</v>
      </c>
    </row>
    <row r="55" spans="1:9" x14ac:dyDescent="0.25">
      <c r="A55" s="62"/>
      <c r="B55" s="65"/>
      <c r="C55" s="5" t="s">
        <v>25</v>
      </c>
      <c r="D55" s="5" t="s">
        <v>114</v>
      </c>
      <c r="E55" s="19">
        <f>7500*0.07*(1.3+4*1)</f>
        <v>2782.5</v>
      </c>
      <c r="F55" s="44">
        <f t="shared" si="0"/>
        <v>1391.25</v>
      </c>
      <c r="G55" s="35">
        <f t="shared" si="1"/>
        <v>556.5</v>
      </c>
      <c r="H55" s="35">
        <f t="shared" si="2"/>
        <v>417.375</v>
      </c>
      <c r="I55" s="35">
        <f t="shared" si="3"/>
        <v>417.375</v>
      </c>
    </row>
    <row r="56" spans="1:9" x14ac:dyDescent="0.25">
      <c r="A56" s="22" t="s">
        <v>130</v>
      </c>
      <c r="B56" s="8" t="s">
        <v>134</v>
      </c>
      <c r="C56" s="5"/>
      <c r="D56" s="5"/>
      <c r="E56" s="5"/>
      <c r="F56" s="44">
        <f t="shared" si="0"/>
        <v>0</v>
      </c>
      <c r="G56" s="35">
        <f t="shared" si="1"/>
        <v>0</v>
      </c>
      <c r="H56" s="35">
        <f t="shared" si="2"/>
        <v>0</v>
      </c>
      <c r="I56" s="35">
        <f t="shared" si="3"/>
        <v>0</v>
      </c>
    </row>
    <row r="57" spans="1:9" ht="30" x14ac:dyDescent="0.25">
      <c r="A57" s="60" t="s">
        <v>131</v>
      </c>
      <c r="B57" s="67" t="s">
        <v>243</v>
      </c>
      <c r="C57" s="6" t="s">
        <v>19</v>
      </c>
      <c r="D57" s="5" t="s">
        <v>115</v>
      </c>
      <c r="E57" s="19">
        <f>7500*0.06*(1+1*1.1)</f>
        <v>945</v>
      </c>
      <c r="F57" s="44">
        <f t="shared" si="0"/>
        <v>472.5</v>
      </c>
      <c r="G57" s="35">
        <f t="shared" si="1"/>
        <v>189</v>
      </c>
      <c r="H57" s="35">
        <f t="shared" si="2"/>
        <v>141.75</v>
      </c>
      <c r="I57" s="35">
        <f t="shared" si="3"/>
        <v>141.75</v>
      </c>
    </row>
    <row r="58" spans="1:9" ht="30" x14ac:dyDescent="0.25">
      <c r="A58" s="61"/>
      <c r="B58" s="68"/>
      <c r="C58" s="6" t="s">
        <v>21</v>
      </c>
      <c r="D58" s="5" t="s">
        <v>116</v>
      </c>
      <c r="E58" s="19">
        <f>7500*0.06*(1+2*1.1)</f>
        <v>1440</v>
      </c>
      <c r="F58" s="44">
        <f t="shared" si="0"/>
        <v>720</v>
      </c>
      <c r="G58" s="35">
        <f t="shared" si="1"/>
        <v>288</v>
      </c>
      <c r="H58" s="35">
        <f t="shared" si="2"/>
        <v>216</v>
      </c>
      <c r="I58" s="35">
        <f t="shared" si="3"/>
        <v>216</v>
      </c>
    </row>
    <row r="59" spans="1:9" x14ac:dyDescent="0.25">
      <c r="A59" s="61"/>
      <c r="B59" s="68"/>
      <c r="C59" s="5" t="s">
        <v>23</v>
      </c>
      <c r="D59" s="5" t="s">
        <v>117</v>
      </c>
      <c r="E59" s="19">
        <f>7500*0.06*(1+3*1.1)</f>
        <v>1935.0000000000002</v>
      </c>
      <c r="F59" s="44">
        <f t="shared" si="0"/>
        <v>967.50000000000011</v>
      </c>
      <c r="G59" s="35">
        <f t="shared" si="1"/>
        <v>387.00000000000006</v>
      </c>
      <c r="H59" s="35">
        <f t="shared" si="2"/>
        <v>290.25</v>
      </c>
      <c r="I59" s="35">
        <f t="shared" si="3"/>
        <v>290.25</v>
      </c>
    </row>
    <row r="60" spans="1:9" x14ac:dyDescent="0.25">
      <c r="A60" s="62"/>
      <c r="B60" s="69"/>
      <c r="C60" s="5" t="s">
        <v>25</v>
      </c>
      <c r="D60" s="5" t="s">
        <v>118</v>
      </c>
      <c r="E60" s="19">
        <f>7500*0.06*(1+4*1.1)</f>
        <v>2430</v>
      </c>
      <c r="F60" s="44">
        <f t="shared" si="0"/>
        <v>1215</v>
      </c>
      <c r="G60" s="35">
        <f t="shared" si="1"/>
        <v>486</v>
      </c>
      <c r="H60" s="35">
        <f t="shared" si="2"/>
        <v>364.5</v>
      </c>
      <c r="I60" s="35">
        <f t="shared" si="3"/>
        <v>364.5</v>
      </c>
    </row>
    <row r="61" spans="1:9" ht="30" x14ac:dyDescent="0.25">
      <c r="A61" s="60" t="s">
        <v>132</v>
      </c>
      <c r="B61" s="67" t="s">
        <v>254</v>
      </c>
      <c r="C61" s="6" t="s">
        <v>19</v>
      </c>
      <c r="D61" s="5" t="s">
        <v>115</v>
      </c>
      <c r="E61" s="19">
        <f>7500*0.06*(1+1*1.1)</f>
        <v>945</v>
      </c>
      <c r="F61" s="44">
        <f t="shared" si="0"/>
        <v>472.5</v>
      </c>
      <c r="G61" s="35">
        <f t="shared" si="1"/>
        <v>189</v>
      </c>
      <c r="H61" s="35">
        <f t="shared" si="2"/>
        <v>141.75</v>
      </c>
      <c r="I61" s="35">
        <f t="shared" si="3"/>
        <v>141.75</v>
      </c>
    </row>
    <row r="62" spans="1:9" ht="30" x14ac:dyDescent="0.25">
      <c r="A62" s="61"/>
      <c r="B62" s="68"/>
      <c r="C62" s="6" t="s">
        <v>21</v>
      </c>
      <c r="D62" s="5" t="s">
        <v>116</v>
      </c>
      <c r="E62" s="19">
        <f>7500*0.06*(1+2*1.1)</f>
        <v>1440</v>
      </c>
      <c r="F62" s="44">
        <f t="shared" si="0"/>
        <v>720</v>
      </c>
      <c r="G62" s="35">
        <f t="shared" si="1"/>
        <v>288</v>
      </c>
      <c r="H62" s="35">
        <f t="shared" si="2"/>
        <v>216</v>
      </c>
      <c r="I62" s="35">
        <f t="shared" si="3"/>
        <v>216</v>
      </c>
    </row>
    <row r="63" spans="1:9" x14ac:dyDescent="0.25">
      <c r="A63" s="61"/>
      <c r="B63" s="68"/>
      <c r="C63" s="5" t="s">
        <v>23</v>
      </c>
      <c r="D63" s="5" t="s">
        <v>117</v>
      </c>
      <c r="E63" s="19">
        <f>7500*0.06*(1+3*1.1)</f>
        <v>1935.0000000000002</v>
      </c>
      <c r="F63" s="44">
        <f t="shared" si="0"/>
        <v>967.50000000000011</v>
      </c>
      <c r="G63" s="35">
        <f t="shared" si="1"/>
        <v>387.00000000000006</v>
      </c>
      <c r="H63" s="35">
        <f t="shared" si="2"/>
        <v>290.25</v>
      </c>
      <c r="I63" s="35">
        <f t="shared" si="3"/>
        <v>290.25</v>
      </c>
    </row>
    <row r="64" spans="1:9" x14ac:dyDescent="0.25">
      <c r="A64" s="62"/>
      <c r="B64" s="69"/>
      <c r="C64" s="5" t="s">
        <v>25</v>
      </c>
      <c r="D64" s="5" t="s">
        <v>118</v>
      </c>
      <c r="E64" s="19">
        <f>7500*0.06*(1+4*1.1)</f>
        <v>2430</v>
      </c>
      <c r="F64" s="44">
        <f t="shared" si="0"/>
        <v>1215</v>
      </c>
      <c r="G64" s="35">
        <f t="shared" si="1"/>
        <v>486</v>
      </c>
      <c r="H64" s="35">
        <f t="shared" si="2"/>
        <v>364.5</v>
      </c>
      <c r="I64" s="35">
        <f t="shared" si="3"/>
        <v>364.5</v>
      </c>
    </row>
    <row r="65" spans="1:9" ht="30" x14ac:dyDescent="0.25">
      <c r="A65" s="60" t="s">
        <v>133</v>
      </c>
      <c r="B65" s="66" t="s">
        <v>27</v>
      </c>
      <c r="C65" s="6" t="s">
        <v>19</v>
      </c>
      <c r="D65" s="5" t="s">
        <v>119</v>
      </c>
      <c r="E65" s="19">
        <f>7500*0.08*(1.3+1*1.1)</f>
        <v>1440.0000000000002</v>
      </c>
      <c r="F65" s="44">
        <f t="shared" si="0"/>
        <v>720.00000000000011</v>
      </c>
      <c r="G65" s="35">
        <f t="shared" si="1"/>
        <v>288.00000000000006</v>
      </c>
      <c r="H65" s="35">
        <f t="shared" si="2"/>
        <v>216.00000000000003</v>
      </c>
      <c r="I65" s="35">
        <f t="shared" si="3"/>
        <v>216.00000000000003</v>
      </c>
    </row>
    <row r="66" spans="1:9" ht="30" x14ac:dyDescent="0.25">
      <c r="A66" s="61"/>
      <c r="B66" s="64"/>
      <c r="C66" s="6" t="s">
        <v>21</v>
      </c>
      <c r="D66" s="5" t="s">
        <v>120</v>
      </c>
      <c r="E66" s="19">
        <f>7500*0.08*(1.3+2*1.1)</f>
        <v>2100</v>
      </c>
      <c r="F66" s="44">
        <f t="shared" si="0"/>
        <v>1050</v>
      </c>
      <c r="G66" s="35">
        <f t="shared" si="1"/>
        <v>420</v>
      </c>
      <c r="H66" s="35">
        <f t="shared" si="2"/>
        <v>315</v>
      </c>
      <c r="I66" s="35">
        <f t="shared" si="3"/>
        <v>315</v>
      </c>
    </row>
    <row r="67" spans="1:9" x14ac:dyDescent="0.25">
      <c r="A67" s="61"/>
      <c r="B67" s="64"/>
      <c r="C67" s="5" t="s">
        <v>23</v>
      </c>
      <c r="D67" s="5" t="s">
        <v>121</v>
      </c>
      <c r="E67" s="19">
        <f>7500*0.08*(1.3+3*1.1)</f>
        <v>2760.0000000000005</v>
      </c>
      <c r="F67" s="44">
        <f t="shared" si="0"/>
        <v>1380.0000000000002</v>
      </c>
      <c r="G67" s="35">
        <f t="shared" si="1"/>
        <v>552.00000000000011</v>
      </c>
      <c r="H67" s="35">
        <f t="shared" si="2"/>
        <v>414.00000000000006</v>
      </c>
      <c r="I67" s="35">
        <f t="shared" si="3"/>
        <v>414.00000000000006</v>
      </c>
    </row>
    <row r="68" spans="1:9" x14ac:dyDescent="0.25">
      <c r="A68" s="62"/>
      <c r="B68" s="65"/>
      <c r="C68" s="5" t="s">
        <v>25</v>
      </c>
      <c r="D68" s="5" t="s">
        <v>220</v>
      </c>
      <c r="E68" s="19">
        <f>7500*0.08*(1.3+4*1.1)</f>
        <v>3420</v>
      </c>
      <c r="F68" s="44">
        <f t="shared" si="0"/>
        <v>1710</v>
      </c>
      <c r="G68" s="35">
        <f t="shared" si="1"/>
        <v>684</v>
      </c>
      <c r="H68" s="35">
        <f t="shared" si="2"/>
        <v>513</v>
      </c>
      <c r="I68" s="35">
        <f t="shared" si="3"/>
        <v>513</v>
      </c>
    </row>
    <row r="69" spans="1:9" ht="30" x14ac:dyDescent="0.25">
      <c r="A69" s="60" t="s">
        <v>133</v>
      </c>
      <c r="B69" s="63" t="s">
        <v>45</v>
      </c>
      <c r="C69" s="6" t="s">
        <v>19</v>
      </c>
      <c r="D69" s="5" t="s">
        <v>93</v>
      </c>
      <c r="E69" s="19">
        <f>7500*0.07*(1.3+1*1.1)</f>
        <v>1260.0000000000002</v>
      </c>
      <c r="F69" s="44">
        <f t="shared" si="0"/>
        <v>630.00000000000011</v>
      </c>
      <c r="G69" s="35">
        <f t="shared" si="1"/>
        <v>252.00000000000006</v>
      </c>
      <c r="H69" s="35">
        <f t="shared" si="2"/>
        <v>189.00000000000003</v>
      </c>
      <c r="I69" s="35">
        <f t="shared" si="3"/>
        <v>189.00000000000003</v>
      </c>
    </row>
    <row r="70" spans="1:9" ht="30" x14ac:dyDescent="0.25">
      <c r="A70" s="61"/>
      <c r="B70" s="64"/>
      <c r="C70" s="6" t="s">
        <v>21</v>
      </c>
      <c r="D70" s="5" t="s">
        <v>94</v>
      </c>
      <c r="E70" s="19">
        <f>7500*0.07*(1.3+2*1.1)</f>
        <v>1837.5</v>
      </c>
      <c r="F70" s="44">
        <f t="shared" si="0"/>
        <v>918.75</v>
      </c>
      <c r="G70" s="35">
        <f t="shared" si="1"/>
        <v>367.5</v>
      </c>
      <c r="H70" s="35">
        <f t="shared" si="2"/>
        <v>275.625</v>
      </c>
      <c r="I70" s="35">
        <f t="shared" si="3"/>
        <v>275.625</v>
      </c>
    </row>
    <row r="71" spans="1:9" x14ac:dyDescent="0.25">
      <c r="A71" s="61"/>
      <c r="B71" s="64"/>
      <c r="C71" s="5" t="s">
        <v>23</v>
      </c>
      <c r="D71" s="5" t="s">
        <v>95</v>
      </c>
      <c r="E71" s="19">
        <f>7500*0.07*(1.3+3*1.1)</f>
        <v>2415.0000000000005</v>
      </c>
      <c r="F71" s="44">
        <f t="shared" ref="F71:F72" si="4">E71/2</f>
        <v>1207.5000000000002</v>
      </c>
      <c r="G71" s="35">
        <f t="shared" ref="G71:G72" si="5">E71*0.2</f>
        <v>483.00000000000011</v>
      </c>
      <c r="H71" s="35">
        <f t="shared" ref="H71:H72" si="6">E71*0.15</f>
        <v>362.25000000000006</v>
      </c>
      <c r="I71" s="35">
        <f t="shared" ref="I71:I72" si="7">E71*0.15</f>
        <v>362.25000000000006</v>
      </c>
    </row>
    <row r="72" spans="1:9" x14ac:dyDescent="0.25">
      <c r="A72" s="62"/>
      <c r="B72" s="65"/>
      <c r="C72" s="5" t="s">
        <v>25</v>
      </c>
      <c r="D72" s="5" t="s">
        <v>122</v>
      </c>
      <c r="E72" s="19">
        <f>7500*0.07*(1.3+4*1.1)</f>
        <v>2992.5</v>
      </c>
      <c r="F72" s="44">
        <f t="shared" si="4"/>
        <v>1496.25</v>
      </c>
      <c r="G72" s="35">
        <f t="shared" si="5"/>
        <v>598.5</v>
      </c>
      <c r="H72" s="35">
        <f t="shared" si="6"/>
        <v>448.875</v>
      </c>
      <c r="I72" s="35">
        <f t="shared" si="7"/>
        <v>448.875</v>
      </c>
    </row>
  </sheetData>
  <mergeCells count="33">
    <mergeCell ref="A57:A60"/>
    <mergeCell ref="B57:B60"/>
    <mergeCell ref="A65:A68"/>
    <mergeCell ref="B65:B68"/>
    <mergeCell ref="A69:A72"/>
    <mergeCell ref="B69:B72"/>
    <mergeCell ref="A61:A64"/>
    <mergeCell ref="B61:B64"/>
    <mergeCell ref="A40:A43"/>
    <mergeCell ref="B40:B43"/>
    <mergeCell ref="A48:A51"/>
    <mergeCell ref="B48:B51"/>
    <mergeCell ref="A52:A55"/>
    <mergeCell ref="B52:B55"/>
    <mergeCell ref="A44:A47"/>
    <mergeCell ref="B44:B47"/>
    <mergeCell ref="A31:A34"/>
    <mergeCell ref="B31:B34"/>
    <mergeCell ref="A35:A38"/>
    <mergeCell ref="B35:B38"/>
    <mergeCell ref="A27:A30"/>
    <mergeCell ref="B27:B30"/>
    <mergeCell ref="A18:A21"/>
    <mergeCell ref="B18:B21"/>
    <mergeCell ref="A10:A13"/>
    <mergeCell ref="B10:B13"/>
    <mergeCell ref="A23:A26"/>
    <mergeCell ref="B23:B26"/>
    <mergeCell ref="A1:I1"/>
    <mergeCell ref="A6:A9"/>
    <mergeCell ref="B6:B9"/>
    <mergeCell ref="A14:A17"/>
    <mergeCell ref="B14:B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D14" sqref="D14"/>
    </sheetView>
  </sheetViews>
  <sheetFormatPr defaultRowHeight="15" x14ac:dyDescent="0.25"/>
  <cols>
    <col min="2" max="2" width="26.7109375" customWidth="1"/>
    <col min="3" max="3" width="34.85546875" customWidth="1"/>
    <col min="4" max="4" width="23.42578125" customWidth="1"/>
    <col min="5" max="5" width="13.42578125" customWidth="1"/>
    <col min="6" max="6" width="16.42578125" customWidth="1"/>
    <col min="7" max="7" width="16.140625" customWidth="1"/>
    <col min="8" max="8" width="15.85546875" customWidth="1"/>
    <col min="9" max="9" width="17" customWidth="1"/>
  </cols>
  <sheetData>
    <row r="1" spans="1:9" x14ac:dyDescent="0.25">
      <c r="A1" s="72" t="s">
        <v>271</v>
      </c>
      <c r="B1" s="72"/>
      <c r="C1" s="72"/>
      <c r="D1" s="72"/>
      <c r="E1" s="72"/>
      <c r="F1" s="72"/>
      <c r="G1" s="72"/>
      <c r="H1" s="72"/>
      <c r="I1" s="72"/>
    </row>
    <row r="2" spans="1:9" ht="89.25" customHeight="1" x14ac:dyDescent="0.25">
      <c r="A2" s="5"/>
      <c r="B2" s="29" t="s">
        <v>14</v>
      </c>
      <c r="C2" s="29" t="s">
        <v>15</v>
      </c>
      <c r="D2" s="30" t="s">
        <v>16</v>
      </c>
      <c r="E2" s="30" t="s">
        <v>266</v>
      </c>
      <c r="F2" s="45" t="s">
        <v>267</v>
      </c>
      <c r="G2" s="30" t="s">
        <v>230</v>
      </c>
      <c r="H2" s="31" t="s">
        <v>255</v>
      </c>
      <c r="I2" s="31" t="s">
        <v>269</v>
      </c>
    </row>
    <row r="3" spans="1:9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6" t="s">
        <v>235</v>
      </c>
      <c r="G3" s="32" t="s">
        <v>236</v>
      </c>
      <c r="H3" s="32" t="s">
        <v>237</v>
      </c>
      <c r="I3" s="32" t="s">
        <v>256</v>
      </c>
    </row>
    <row r="4" spans="1:9" ht="75" x14ac:dyDescent="0.25">
      <c r="A4" s="27" t="s">
        <v>184</v>
      </c>
      <c r="B4" s="10" t="s">
        <v>135</v>
      </c>
      <c r="C4" s="3"/>
      <c r="D4" s="3"/>
      <c r="E4" s="3"/>
      <c r="F4" s="47"/>
      <c r="G4" s="3"/>
      <c r="H4" s="3"/>
      <c r="I4" s="3"/>
    </row>
    <row r="5" spans="1:9" ht="30" x14ac:dyDescent="0.25">
      <c r="A5" s="22" t="s">
        <v>185</v>
      </c>
      <c r="B5" s="10" t="s">
        <v>18</v>
      </c>
      <c r="C5" s="3"/>
      <c r="D5" s="3"/>
      <c r="E5" s="3"/>
      <c r="F5" s="47"/>
      <c r="G5" s="3"/>
      <c r="H5" s="3"/>
      <c r="I5" s="3"/>
    </row>
    <row r="6" spans="1:9" ht="30" x14ac:dyDescent="0.25">
      <c r="A6" s="60" t="s">
        <v>186</v>
      </c>
      <c r="B6" s="67" t="s">
        <v>262</v>
      </c>
      <c r="C6" s="6" t="s">
        <v>19</v>
      </c>
      <c r="D6" s="5" t="s">
        <v>201</v>
      </c>
      <c r="E6" s="7">
        <f>7500*0.05*(1.5+1*0.5)</f>
        <v>750</v>
      </c>
      <c r="F6" s="48">
        <f>E6/2</f>
        <v>375</v>
      </c>
      <c r="G6" s="36">
        <f>E6*0.2</f>
        <v>150</v>
      </c>
      <c r="H6" s="36">
        <f>E6*0.15</f>
        <v>112.5</v>
      </c>
      <c r="I6" s="36">
        <f>E6*0.15</f>
        <v>112.5</v>
      </c>
    </row>
    <row r="7" spans="1:9" ht="30" x14ac:dyDescent="0.25">
      <c r="A7" s="61"/>
      <c r="B7" s="68"/>
      <c r="C7" s="6" t="s">
        <v>21</v>
      </c>
      <c r="D7" s="5" t="s">
        <v>202</v>
      </c>
      <c r="E7" s="7">
        <f>7500*0.05*(1.5+2*0.5)</f>
        <v>937.5</v>
      </c>
      <c r="F7" s="48">
        <f t="shared" ref="F7:F70" si="0">E7/2</f>
        <v>468.75</v>
      </c>
      <c r="G7" s="36">
        <f t="shared" ref="G7:G70" si="1">E7*0.2</f>
        <v>187.5</v>
      </c>
      <c r="H7" s="36">
        <f t="shared" ref="H7:H70" si="2">E7*0.15</f>
        <v>140.625</v>
      </c>
      <c r="I7" s="36">
        <f t="shared" ref="I7:I70" si="3">E7*0.15</f>
        <v>140.625</v>
      </c>
    </row>
    <row r="8" spans="1:9" x14ac:dyDescent="0.25">
      <c r="A8" s="61"/>
      <c r="B8" s="68"/>
      <c r="C8" s="5" t="s">
        <v>23</v>
      </c>
      <c r="D8" s="5" t="s">
        <v>203</v>
      </c>
      <c r="E8" s="7">
        <f>7500*0.05*(1.5+3*0.5)</f>
        <v>1125</v>
      </c>
      <c r="F8" s="48">
        <f t="shared" si="0"/>
        <v>562.5</v>
      </c>
      <c r="G8" s="36">
        <f t="shared" si="1"/>
        <v>225</v>
      </c>
      <c r="H8" s="36">
        <f t="shared" si="2"/>
        <v>168.75</v>
      </c>
      <c r="I8" s="36">
        <f t="shared" si="3"/>
        <v>168.75</v>
      </c>
    </row>
    <row r="9" spans="1:9" x14ac:dyDescent="0.25">
      <c r="A9" s="62"/>
      <c r="B9" s="69"/>
      <c r="C9" s="5" t="s">
        <v>25</v>
      </c>
      <c r="D9" s="5" t="s">
        <v>204</v>
      </c>
      <c r="E9" s="7">
        <f>7500*0.05*(1.5+4*0.5)</f>
        <v>1312.5</v>
      </c>
      <c r="F9" s="48">
        <f t="shared" si="0"/>
        <v>656.25</v>
      </c>
      <c r="G9" s="36">
        <f t="shared" si="1"/>
        <v>262.5</v>
      </c>
      <c r="H9" s="36">
        <f t="shared" si="2"/>
        <v>196.875</v>
      </c>
      <c r="I9" s="36">
        <f t="shared" si="3"/>
        <v>196.875</v>
      </c>
    </row>
    <row r="10" spans="1:9" ht="30" x14ac:dyDescent="0.25">
      <c r="A10" s="60" t="s">
        <v>187</v>
      </c>
      <c r="B10" s="67" t="s">
        <v>232</v>
      </c>
      <c r="C10" s="6" t="s">
        <v>19</v>
      </c>
      <c r="D10" s="5" t="s">
        <v>201</v>
      </c>
      <c r="E10" s="7">
        <f>7500*0.05*(1.5+1*0.5)</f>
        <v>750</v>
      </c>
      <c r="F10" s="48">
        <f t="shared" si="0"/>
        <v>375</v>
      </c>
      <c r="G10" s="36">
        <f t="shared" si="1"/>
        <v>150</v>
      </c>
      <c r="H10" s="36">
        <f t="shared" si="2"/>
        <v>112.5</v>
      </c>
      <c r="I10" s="36">
        <f t="shared" si="3"/>
        <v>112.5</v>
      </c>
    </row>
    <row r="11" spans="1:9" ht="30" x14ac:dyDescent="0.25">
      <c r="A11" s="61"/>
      <c r="B11" s="68"/>
      <c r="C11" s="6" t="s">
        <v>21</v>
      </c>
      <c r="D11" s="5" t="s">
        <v>202</v>
      </c>
      <c r="E11" s="7">
        <f>7500*0.05*(1.5+2*0.5)</f>
        <v>937.5</v>
      </c>
      <c r="F11" s="48">
        <f t="shared" si="0"/>
        <v>468.75</v>
      </c>
      <c r="G11" s="36">
        <f t="shared" si="1"/>
        <v>187.5</v>
      </c>
      <c r="H11" s="36">
        <f t="shared" si="2"/>
        <v>140.625</v>
      </c>
      <c r="I11" s="36">
        <f t="shared" si="3"/>
        <v>140.625</v>
      </c>
    </row>
    <row r="12" spans="1:9" x14ac:dyDescent="0.25">
      <c r="A12" s="61"/>
      <c r="B12" s="68"/>
      <c r="C12" s="5" t="s">
        <v>23</v>
      </c>
      <c r="D12" s="5" t="s">
        <v>203</v>
      </c>
      <c r="E12" s="7">
        <f>7500*0.05*(1.5+3*0.5)</f>
        <v>1125</v>
      </c>
      <c r="F12" s="48">
        <f t="shared" si="0"/>
        <v>562.5</v>
      </c>
      <c r="G12" s="36">
        <f t="shared" si="1"/>
        <v>225</v>
      </c>
      <c r="H12" s="36">
        <f t="shared" si="2"/>
        <v>168.75</v>
      </c>
      <c r="I12" s="36">
        <f t="shared" si="3"/>
        <v>168.75</v>
      </c>
    </row>
    <row r="13" spans="1:9" x14ac:dyDescent="0.25">
      <c r="A13" s="62"/>
      <c r="B13" s="69"/>
      <c r="C13" s="5" t="s">
        <v>25</v>
      </c>
      <c r="D13" s="5" t="s">
        <v>204</v>
      </c>
      <c r="E13" s="7">
        <f>7500*0.05*(1.5+4*0.5)</f>
        <v>1312.5</v>
      </c>
      <c r="F13" s="48">
        <f t="shared" si="0"/>
        <v>656.25</v>
      </c>
      <c r="G13" s="36">
        <f t="shared" si="1"/>
        <v>262.5</v>
      </c>
      <c r="H13" s="36">
        <f t="shared" si="2"/>
        <v>196.875</v>
      </c>
      <c r="I13" s="36">
        <f t="shared" si="3"/>
        <v>196.875</v>
      </c>
    </row>
    <row r="14" spans="1:9" ht="30" x14ac:dyDescent="0.25">
      <c r="A14" s="60" t="s">
        <v>188</v>
      </c>
      <c r="B14" s="66" t="s">
        <v>27</v>
      </c>
      <c r="C14" s="6" t="s">
        <v>19</v>
      </c>
      <c r="D14" s="5" t="s">
        <v>144</v>
      </c>
      <c r="E14" s="7">
        <f>7500*0.07*(1.5+1*0.5)</f>
        <v>1050</v>
      </c>
      <c r="F14" s="48">
        <f t="shared" si="0"/>
        <v>525</v>
      </c>
      <c r="G14" s="36">
        <f t="shared" si="1"/>
        <v>210</v>
      </c>
      <c r="H14" s="36">
        <f t="shared" si="2"/>
        <v>157.5</v>
      </c>
      <c r="I14" s="36">
        <f t="shared" si="3"/>
        <v>157.5</v>
      </c>
    </row>
    <row r="15" spans="1:9" ht="30" x14ac:dyDescent="0.25">
      <c r="A15" s="61"/>
      <c r="B15" s="64"/>
      <c r="C15" s="6" t="s">
        <v>21</v>
      </c>
      <c r="D15" s="5" t="s">
        <v>145</v>
      </c>
      <c r="E15" s="7">
        <f>7500*0.07*(1.5+2*0.5)</f>
        <v>1312.5</v>
      </c>
      <c r="F15" s="48">
        <f t="shared" si="0"/>
        <v>656.25</v>
      </c>
      <c r="G15" s="36">
        <f t="shared" si="1"/>
        <v>262.5</v>
      </c>
      <c r="H15" s="36">
        <f t="shared" si="2"/>
        <v>196.875</v>
      </c>
      <c r="I15" s="36">
        <f t="shared" si="3"/>
        <v>196.875</v>
      </c>
    </row>
    <row r="16" spans="1:9" x14ac:dyDescent="0.25">
      <c r="A16" s="61"/>
      <c r="B16" s="64"/>
      <c r="C16" s="5" t="s">
        <v>23</v>
      </c>
      <c r="D16" s="5" t="s">
        <v>146</v>
      </c>
      <c r="E16" s="7">
        <f>7500*0.07*(1.5+3*0.5)</f>
        <v>1575</v>
      </c>
      <c r="F16" s="48">
        <f t="shared" si="0"/>
        <v>787.5</v>
      </c>
      <c r="G16" s="36">
        <f t="shared" si="1"/>
        <v>315</v>
      </c>
      <c r="H16" s="36">
        <f t="shared" si="2"/>
        <v>236.25</v>
      </c>
      <c r="I16" s="36">
        <f t="shared" si="3"/>
        <v>236.25</v>
      </c>
    </row>
    <row r="17" spans="1:9" x14ac:dyDescent="0.25">
      <c r="A17" s="62"/>
      <c r="B17" s="65"/>
      <c r="C17" s="5" t="s">
        <v>25</v>
      </c>
      <c r="D17" s="5" t="s">
        <v>147</v>
      </c>
      <c r="E17" s="7">
        <f>7500*0.07*(1.5+4*0.5)</f>
        <v>1837.5</v>
      </c>
      <c r="F17" s="48">
        <f t="shared" si="0"/>
        <v>918.75</v>
      </c>
      <c r="G17" s="36">
        <f t="shared" si="1"/>
        <v>367.5</v>
      </c>
      <c r="H17" s="36">
        <f t="shared" si="2"/>
        <v>275.625</v>
      </c>
      <c r="I17" s="36">
        <f t="shared" si="3"/>
        <v>275.625</v>
      </c>
    </row>
    <row r="18" spans="1:9" ht="30" x14ac:dyDescent="0.25">
      <c r="A18" s="60" t="s">
        <v>257</v>
      </c>
      <c r="B18" s="63" t="s">
        <v>45</v>
      </c>
      <c r="C18" s="6" t="s">
        <v>19</v>
      </c>
      <c r="D18" s="5" t="s">
        <v>136</v>
      </c>
      <c r="E18" s="7">
        <f>7500*0.06*(1.5+1*0.5)</f>
        <v>900</v>
      </c>
      <c r="F18" s="48">
        <f t="shared" si="0"/>
        <v>450</v>
      </c>
      <c r="G18" s="36">
        <f t="shared" si="1"/>
        <v>180</v>
      </c>
      <c r="H18" s="36">
        <f t="shared" si="2"/>
        <v>135</v>
      </c>
      <c r="I18" s="36">
        <f t="shared" si="3"/>
        <v>135</v>
      </c>
    </row>
    <row r="19" spans="1:9" ht="30" x14ac:dyDescent="0.25">
      <c r="A19" s="61"/>
      <c r="B19" s="64"/>
      <c r="C19" s="6" t="s">
        <v>21</v>
      </c>
      <c r="D19" s="5" t="s">
        <v>137</v>
      </c>
      <c r="E19" s="7">
        <f>7500*0.06*(1.5+2*0.5)</f>
        <v>1125</v>
      </c>
      <c r="F19" s="48">
        <f t="shared" si="0"/>
        <v>562.5</v>
      </c>
      <c r="G19" s="36">
        <f t="shared" si="1"/>
        <v>225</v>
      </c>
      <c r="H19" s="36">
        <f t="shared" si="2"/>
        <v>168.75</v>
      </c>
      <c r="I19" s="36">
        <f t="shared" si="3"/>
        <v>168.75</v>
      </c>
    </row>
    <row r="20" spans="1:9" x14ac:dyDescent="0.25">
      <c r="A20" s="61"/>
      <c r="B20" s="64"/>
      <c r="C20" s="5" t="s">
        <v>23</v>
      </c>
      <c r="D20" s="5" t="s">
        <v>138</v>
      </c>
      <c r="E20" s="7">
        <f>7500*0.06*(1.5+3*0.5)</f>
        <v>1350</v>
      </c>
      <c r="F20" s="48">
        <f t="shared" si="0"/>
        <v>675</v>
      </c>
      <c r="G20" s="36">
        <f t="shared" si="1"/>
        <v>270</v>
      </c>
      <c r="H20" s="36">
        <f t="shared" si="2"/>
        <v>202.5</v>
      </c>
      <c r="I20" s="36">
        <f t="shared" si="3"/>
        <v>202.5</v>
      </c>
    </row>
    <row r="21" spans="1:9" x14ac:dyDescent="0.25">
      <c r="A21" s="62"/>
      <c r="B21" s="65"/>
      <c r="C21" s="5" t="s">
        <v>25</v>
      </c>
      <c r="D21" s="5" t="s">
        <v>139</v>
      </c>
      <c r="E21" s="7">
        <f>7500*0.06*(1.5+4*0.5)</f>
        <v>1575</v>
      </c>
      <c r="F21" s="48">
        <f t="shared" si="0"/>
        <v>787.5</v>
      </c>
      <c r="G21" s="36">
        <f t="shared" si="1"/>
        <v>315</v>
      </c>
      <c r="H21" s="36">
        <f t="shared" si="2"/>
        <v>236.25</v>
      </c>
      <c r="I21" s="36">
        <f t="shared" si="3"/>
        <v>236.25</v>
      </c>
    </row>
    <row r="22" spans="1:9" x14ac:dyDescent="0.25">
      <c r="A22" s="11" t="s">
        <v>189</v>
      </c>
      <c r="B22" s="16" t="s">
        <v>30</v>
      </c>
      <c r="C22" s="17"/>
      <c r="D22" s="18"/>
      <c r="E22" s="7"/>
      <c r="F22" s="48">
        <f t="shared" si="0"/>
        <v>0</v>
      </c>
      <c r="G22" s="36">
        <f t="shared" si="1"/>
        <v>0</v>
      </c>
      <c r="H22" s="36">
        <f t="shared" si="2"/>
        <v>0</v>
      </c>
      <c r="I22" s="36">
        <f t="shared" si="3"/>
        <v>0</v>
      </c>
    </row>
    <row r="23" spans="1:9" ht="30" x14ac:dyDescent="0.25">
      <c r="A23" s="60" t="s">
        <v>190</v>
      </c>
      <c r="B23" s="67" t="s">
        <v>243</v>
      </c>
      <c r="C23" s="6" t="s">
        <v>19</v>
      </c>
      <c r="D23" s="5" t="s">
        <v>205</v>
      </c>
      <c r="E23" s="7">
        <f>7500*0.05*(1.5+1*0.8)</f>
        <v>862.49999999999989</v>
      </c>
      <c r="F23" s="48">
        <f t="shared" si="0"/>
        <v>431.24999999999994</v>
      </c>
      <c r="G23" s="36">
        <f t="shared" si="1"/>
        <v>172.5</v>
      </c>
      <c r="H23" s="36">
        <f t="shared" si="2"/>
        <v>129.37499999999997</v>
      </c>
      <c r="I23" s="36">
        <f t="shared" si="3"/>
        <v>129.37499999999997</v>
      </c>
    </row>
    <row r="24" spans="1:9" ht="30" x14ac:dyDescent="0.25">
      <c r="A24" s="61"/>
      <c r="B24" s="68"/>
      <c r="C24" s="6" t="s">
        <v>21</v>
      </c>
      <c r="D24" s="5" t="s">
        <v>149</v>
      </c>
      <c r="E24" s="7">
        <f>7500*0.05*(1.5+2*0.8)</f>
        <v>1162.5</v>
      </c>
      <c r="F24" s="48">
        <f t="shared" si="0"/>
        <v>581.25</v>
      </c>
      <c r="G24" s="36">
        <f t="shared" si="1"/>
        <v>232.5</v>
      </c>
      <c r="H24" s="36">
        <f t="shared" si="2"/>
        <v>174.375</v>
      </c>
      <c r="I24" s="36">
        <f t="shared" si="3"/>
        <v>174.375</v>
      </c>
    </row>
    <row r="25" spans="1:9" x14ac:dyDescent="0.25">
      <c r="A25" s="61"/>
      <c r="B25" s="68"/>
      <c r="C25" s="5" t="s">
        <v>23</v>
      </c>
      <c r="D25" s="5" t="s">
        <v>150</v>
      </c>
      <c r="E25" s="7">
        <f>7500*0.05*(1.5+3*0.8)</f>
        <v>1462.5000000000002</v>
      </c>
      <c r="F25" s="48">
        <f t="shared" si="0"/>
        <v>731.25000000000011</v>
      </c>
      <c r="G25" s="36">
        <f t="shared" si="1"/>
        <v>292.50000000000006</v>
      </c>
      <c r="H25" s="36">
        <f t="shared" si="2"/>
        <v>219.37500000000003</v>
      </c>
      <c r="I25" s="36">
        <f t="shared" si="3"/>
        <v>219.37500000000003</v>
      </c>
    </row>
    <row r="26" spans="1:9" x14ac:dyDescent="0.25">
      <c r="A26" s="62"/>
      <c r="B26" s="69"/>
      <c r="C26" s="5" t="s">
        <v>25</v>
      </c>
      <c r="D26" s="5" t="s">
        <v>151</v>
      </c>
      <c r="E26" s="7">
        <f>7500*0.05*(1.5+4*0.8)</f>
        <v>1762.5</v>
      </c>
      <c r="F26" s="48">
        <f t="shared" si="0"/>
        <v>881.25</v>
      </c>
      <c r="G26" s="36">
        <f t="shared" si="1"/>
        <v>352.5</v>
      </c>
      <c r="H26" s="36">
        <f t="shared" si="2"/>
        <v>264.375</v>
      </c>
      <c r="I26" s="36">
        <f t="shared" si="3"/>
        <v>264.375</v>
      </c>
    </row>
    <row r="27" spans="1:9" ht="30" x14ac:dyDescent="0.25">
      <c r="A27" s="60" t="s">
        <v>191</v>
      </c>
      <c r="B27" s="67" t="s">
        <v>254</v>
      </c>
      <c r="C27" s="6" t="s">
        <v>19</v>
      </c>
      <c r="D27" s="5" t="s">
        <v>205</v>
      </c>
      <c r="E27" s="7">
        <f>7500*0.05*(1.5+1*0.8)</f>
        <v>862.49999999999989</v>
      </c>
      <c r="F27" s="48">
        <f t="shared" si="0"/>
        <v>431.24999999999994</v>
      </c>
      <c r="G27" s="36">
        <f t="shared" si="1"/>
        <v>172.5</v>
      </c>
      <c r="H27" s="36">
        <f t="shared" si="2"/>
        <v>129.37499999999997</v>
      </c>
      <c r="I27" s="36">
        <f t="shared" si="3"/>
        <v>129.37499999999997</v>
      </c>
    </row>
    <row r="28" spans="1:9" ht="30" x14ac:dyDescent="0.25">
      <c r="A28" s="61"/>
      <c r="B28" s="68"/>
      <c r="C28" s="6" t="s">
        <v>21</v>
      </c>
      <c r="D28" s="5" t="s">
        <v>149</v>
      </c>
      <c r="E28" s="7">
        <f>7500*0.05*(1.5+2*0.8)</f>
        <v>1162.5</v>
      </c>
      <c r="F28" s="48">
        <f t="shared" si="0"/>
        <v>581.25</v>
      </c>
      <c r="G28" s="36">
        <f t="shared" si="1"/>
        <v>232.5</v>
      </c>
      <c r="H28" s="36">
        <f t="shared" si="2"/>
        <v>174.375</v>
      </c>
      <c r="I28" s="36">
        <f t="shared" si="3"/>
        <v>174.375</v>
      </c>
    </row>
    <row r="29" spans="1:9" x14ac:dyDescent="0.25">
      <c r="A29" s="61"/>
      <c r="B29" s="68"/>
      <c r="C29" s="5" t="s">
        <v>23</v>
      </c>
      <c r="D29" s="5" t="s">
        <v>150</v>
      </c>
      <c r="E29" s="7">
        <f>7500*0.05*(1.5+3*0.8)</f>
        <v>1462.5000000000002</v>
      </c>
      <c r="F29" s="48">
        <f t="shared" si="0"/>
        <v>731.25000000000011</v>
      </c>
      <c r="G29" s="36">
        <f t="shared" si="1"/>
        <v>292.50000000000006</v>
      </c>
      <c r="H29" s="36">
        <f t="shared" si="2"/>
        <v>219.37500000000003</v>
      </c>
      <c r="I29" s="36">
        <f t="shared" si="3"/>
        <v>219.37500000000003</v>
      </c>
    </row>
    <row r="30" spans="1:9" x14ac:dyDescent="0.25">
      <c r="A30" s="62"/>
      <c r="B30" s="69"/>
      <c r="C30" s="5" t="s">
        <v>25</v>
      </c>
      <c r="D30" s="5" t="s">
        <v>151</v>
      </c>
      <c r="E30" s="7">
        <f>7500*0.05*(1.5+4*0.8)</f>
        <v>1762.5</v>
      </c>
      <c r="F30" s="48">
        <f t="shared" si="0"/>
        <v>881.25</v>
      </c>
      <c r="G30" s="36">
        <f t="shared" si="1"/>
        <v>352.5</v>
      </c>
      <c r="H30" s="36">
        <f t="shared" si="2"/>
        <v>264.375</v>
      </c>
      <c r="I30" s="36">
        <f t="shared" si="3"/>
        <v>264.375</v>
      </c>
    </row>
    <row r="31" spans="1:9" ht="30" x14ac:dyDescent="0.25">
      <c r="A31" s="60" t="s">
        <v>192</v>
      </c>
      <c r="B31" s="66" t="s">
        <v>27</v>
      </c>
      <c r="C31" s="6" t="s">
        <v>19</v>
      </c>
      <c r="D31" s="5" t="s">
        <v>152</v>
      </c>
      <c r="E31" s="7">
        <f>7500*0.07*(1.5+1*0.8)</f>
        <v>1207.5</v>
      </c>
      <c r="F31" s="48">
        <f t="shared" si="0"/>
        <v>603.75</v>
      </c>
      <c r="G31" s="36">
        <f t="shared" si="1"/>
        <v>241.5</v>
      </c>
      <c r="H31" s="36">
        <f t="shared" si="2"/>
        <v>181.125</v>
      </c>
      <c r="I31" s="36">
        <f t="shared" si="3"/>
        <v>181.125</v>
      </c>
    </row>
    <row r="32" spans="1:9" ht="30" x14ac:dyDescent="0.25">
      <c r="A32" s="61"/>
      <c r="B32" s="64"/>
      <c r="C32" s="6" t="s">
        <v>21</v>
      </c>
      <c r="D32" s="5" t="s">
        <v>153</v>
      </c>
      <c r="E32" s="7">
        <f>7500*0.07*(1.5+2*0.8)</f>
        <v>1627.5</v>
      </c>
      <c r="F32" s="48">
        <f t="shared" si="0"/>
        <v>813.75</v>
      </c>
      <c r="G32" s="36">
        <f t="shared" si="1"/>
        <v>325.5</v>
      </c>
      <c r="H32" s="36">
        <f t="shared" si="2"/>
        <v>244.125</v>
      </c>
      <c r="I32" s="36">
        <f t="shared" si="3"/>
        <v>244.125</v>
      </c>
    </row>
    <row r="33" spans="1:9" x14ac:dyDescent="0.25">
      <c r="A33" s="61"/>
      <c r="B33" s="64"/>
      <c r="C33" s="5" t="s">
        <v>23</v>
      </c>
      <c r="D33" s="5" t="s">
        <v>154</v>
      </c>
      <c r="E33" s="7">
        <f>7500*0.07*(1.5+3*0.8)</f>
        <v>2047.5000000000002</v>
      </c>
      <c r="F33" s="48">
        <f t="shared" si="0"/>
        <v>1023.7500000000001</v>
      </c>
      <c r="G33" s="36">
        <f t="shared" si="1"/>
        <v>409.50000000000006</v>
      </c>
      <c r="H33" s="36">
        <f t="shared" si="2"/>
        <v>307.125</v>
      </c>
      <c r="I33" s="36">
        <f t="shared" si="3"/>
        <v>307.125</v>
      </c>
    </row>
    <row r="34" spans="1:9" x14ac:dyDescent="0.25">
      <c r="A34" s="62"/>
      <c r="B34" s="65"/>
      <c r="C34" s="5" t="s">
        <v>25</v>
      </c>
      <c r="D34" s="5" t="s">
        <v>155</v>
      </c>
      <c r="E34" s="7">
        <f>7500*0.07*(1.5+4*0.8)</f>
        <v>2467.5</v>
      </c>
      <c r="F34" s="48">
        <f t="shared" si="0"/>
        <v>1233.75</v>
      </c>
      <c r="G34" s="36">
        <f t="shared" si="1"/>
        <v>493.5</v>
      </c>
      <c r="H34" s="36">
        <f t="shared" si="2"/>
        <v>370.125</v>
      </c>
      <c r="I34" s="36">
        <f t="shared" si="3"/>
        <v>370.125</v>
      </c>
    </row>
    <row r="35" spans="1:9" ht="30" x14ac:dyDescent="0.25">
      <c r="A35" s="60" t="s">
        <v>258</v>
      </c>
      <c r="B35" s="63" t="s">
        <v>45</v>
      </c>
      <c r="C35" s="6" t="s">
        <v>19</v>
      </c>
      <c r="D35" s="5" t="s">
        <v>148</v>
      </c>
      <c r="E35" s="19">
        <f>7500*0.06*(1.5+1*0.8)</f>
        <v>1035</v>
      </c>
      <c r="F35" s="48">
        <f t="shared" si="0"/>
        <v>517.5</v>
      </c>
      <c r="G35" s="36">
        <f t="shared" si="1"/>
        <v>207</v>
      </c>
      <c r="H35" s="36">
        <f t="shared" si="2"/>
        <v>155.25</v>
      </c>
      <c r="I35" s="36">
        <f t="shared" si="3"/>
        <v>155.25</v>
      </c>
    </row>
    <row r="36" spans="1:9" ht="30" x14ac:dyDescent="0.25">
      <c r="A36" s="61"/>
      <c r="B36" s="64"/>
      <c r="C36" s="6" t="s">
        <v>21</v>
      </c>
      <c r="D36" s="5" t="s">
        <v>156</v>
      </c>
      <c r="E36" s="19">
        <f>7500*0.06*(1.5+2*0.8)</f>
        <v>1395</v>
      </c>
      <c r="F36" s="48">
        <f t="shared" si="0"/>
        <v>697.5</v>
      </c>
      <c r="G36" s="36">
        <f t="shared" si="1"/>
        <v>279</v>
      </c>
      <c r="H36" s="36">
        <f t="shared" si="2"/>
        <v>209.25</v>
      </c>
      <c r="I36" s="36">
        <f t="shared" si="3"/>
        <v>209.25</v>
      </c>
    </row>
    <row r="37" spans="1:9" x14ac:dyDescent="0.25">
      <c r="A37" s="61"/>
      <c r="B37" s="64"/>
      <c r="C37" s="5" t="s">
        <v>23</v>
      </c>
      <c r="D37" s="5" t="s">
        <v>157</v>
      </c>
      <c r="E37" s="19">
        <f>7500*0.06*(1.5+3*0.8)</f>
        <v>1755.0000000000002</v>
      </c>
      <c r="F37" s="48">
        <f t="shared" si="0"/>
        <v>877.50000000000011</v>
      </c>
      <c r="G37" s="36">
        <f t="shared" si="1"/>
        <v>351.00000000000006</v>
      </c>
      <c r="H37" s="36">
        <f t="shared" si="2"/>
        <v>263.25</v>
      </c>
      <c r="I37" s="36">
        <f t="shared" si="3"/>
        <v>263.25</v>
      </c>
    </row>
    <row r="38" spans="1:9" x14ac:dyDescent="0.25">
      <c r="A38" s="62"/>
      <c r="B38" s="65"/>
      <c r="C38" s="5" t="s">
        <v>25</v>
      </c>
      <c r="D38" s="5" t="s">
        <v>158</v>
      </c>
      <c r="E38" s="19">
        <f>7500*0.06*(1.5+4*0.8)</f>
        <v>2115</v>
      </c>
      <c r="F38" s="48">
        <f t="shared" si="0"/>
        <v>1057.5</v>
      </c>
      <c r="G38" s="36">
        <f t="shared" si="1"/>
        <v>423</v>
      </c>
      <c r="H38" s="36">
        <f t="shared" si="2"/>
        <v>317.25</v>
      </c>
      <c r="I38" s="36">
        <f t="shared" si="3"/>
        <v>317.25</v>
      </c>
    </row>
    <row r="39" spans="1:9" x14ac:dyDescent="0.25">
      <c r="A39" s="20" t="s">
        <v>193</v>
      </c>
      <c r="B39" s="8" t="s">
        <v>59</v>
      </c>
      <c r="C39" s="5"/>
      <c r="D39" s="5"/>
      <c r="E39" s="5"/>
      <c r="F39" s="48">
        <f t="shared" si="0"/>
        <v>0</v>
      </c>
      <c r="G39" s="36">
        <f t="shared" si="1"/>
        <v>0</v>
      </c>
      <c r="H39" s="36">
        <f t="shared" si="2"/>
        <v>0</v>
      </c>
      <c r="I39" s="36">
        <f t="shared" si="3"/>
        <v>0</v>
      </c>
    </row>
    <row r="40" spans="1:9" ht="30" x14ac:dyDescent="0.25">
      <c r="A40" s="60" t="s">
        <v>194</v>
      </c>
      <c r="B40" s="67" t="s">
        <v>243</v>
      </c>
      <c r="C40" s="6" t="s">
        <v>19</v>
      </c>
      <c r="D40" s="5" t="s">
        <v>206</v>
      </c>
      <c r="E40" s="19">
        <f>7500*0.05*(1.5+1*1)</f>
        <v>937.5</v>
      </c>
      <c r="F40" s="48">
        <f t="shared" si="0"/>
        <v>468.75</v>
      </c>
      <c r="G40" s="36">
        <f t="shared" si="1"/>
        <v>187.5</v>
      </c>
      <c r="H40" s="36">
        <f t="shared" si="2"/>
        <v>140.625</v>
      </c>
      <c r="I40" s="36">
        <f t="shared" si="3"/>
        <v>140.625</v>
      </c>
    </row>
    <row r="41" spans="1:9" ht="30" x14ac:dyDescent="0.25">
      <c r="A41" s="61"/>
      <c r="B41" s="68"/>
      <c r="C41" s="6" t="s">
        <v>21</v>
      </c>
      <c r="D41" s="5" t="s">
        <v>207</v>
      </c>
      <c r="E41" s="19">
        <f>7500*0.05*(1.5+2*1)</f>
        <v>1312.5</v>
      </c>
      <c r="F41" s="48">
        <f t="shared" si="0"/>
        <v>656.25</v>
      </c>
      <c r="G41" s="36">
        <f t="shared" si="1"/>
        <v>262.5</v>
      </c>
      <c r="H41" s="36">
        <f t="shared" si="2"/>
        <v>196.875</v>
      </c>
      <c r="I41" s="36">
        <f t="shared" si="3"/>
        <v>196.875</v>
      </c>
    </row>
    <row r="42" spans="1:9" x14ac:dyDescent="0.25">
      <c r="A42" s="61"/>
      <c r="B42" s="68"/>
      <c r="C42" s="5" t="s">
        <v>23</v>
      </c>
      <c r="D42" s="5" t="s">
        <v>208</v>
      </c>
      <c r="E42" s="19">
        <f>7500*0.05*(1.5+3*1)</f>
        <v>1687.5</v>
      </c>
      <c r="F42" s="48">
        <f t="shared" si="0"/>
        <v>843.75</v>
      </c>
      <c r="G42" s="36">
        <f t="shared" si="1"/>
        <v>337.5</v>
      </c>
      <c r="H42" s="36">
        <f t="shared" si="2"/>
        <v>253.125</v>
      </c>
      <c r="I42" s="36">
        <f t="shared" si="3"/>
        <v>253.125</v>
      </c>
    </row>
    <row r="43" spans="1:9" x14ac:dyDescent="0.25">
      <c r="A43" s="62"/>
      <c r="B43" s="69"/>
      <c r="C43" s="5" t="s">
        <v>25</v>
      </c>
      <c r="D43" s="5" t="s">
        <v>209</v>
      </c>
      <c r="E43" s="19">
        <f>7500*0.05*(1.5+4*1)</f>
        <v>2062.5</v>
      </c>
      <c r="F43" s="48">
        <f t="shared" si="0"/>
        <v>1031.25</v>
      </c>
      <c r="G43" s="36">
        <f t="shared" si="1"/>
        <v>412.5</v>
      </c>
      <c r="H43" s="36">
        <f t="shared" si="2"/>
        <v>309.375</v>
      </c>
      <c r="I43" s="36">
        <f t="shared" si="3"/>
        <v>309.375</v>
      </c>
    </row>
    <row r="44" spans="1:9" ht="30" x14ac:dyDescent="0.25">
      <c r="A44" s="60" t="s">
        <v>195</v>
      </c>
      <c r="B44" s="67" t="s">
        <v>232</v>
      </c>
      <c r="C44" s="6" t="s">
        <v>19</v>
      </c>
      <c r="D44" s="5" t="s">
        <v>206</v>
      </c>
      <c r="E44" s="19">
        <f>7500*0.05*(1.5+1*1)</f>
        <v>937.5</v>
      </c>
      <c r="F44" s="48">
        <f t="shared" si="0"/>
        <v>468.75</v>
      </c>
      <c r="G44" s="36">
        <f t="shared" si="1"/>
        <v>187.5</v>
      </c>
      <c r="H44" s="36">
        <f t="shared" si="2"/>
        <v>140.625</v>
      </c>
      <c r="I44" s="36">
        <f t="shared" si="3"/>
        <v>140.625</v>
      </c>
    </row>
    <row r="45" spans="1:9" ht="30" x14ac:dyDescent="0.25">
      <c r="A45" s="61"/>
      <c r="B45" s="68"/>
      <c r="C45" s="6" t="s">
        <v>21</v>
      </c>
      <c r="D45" s="5" t="s">
        <v>207</v>
      </c>
      <c r="E45" s="19">
        <f>7500*0.05*(1.5+2*1)</f>
        <v>1312.5</v>
      </c>
      <c r="F45" s="48">
        <f t="shared" si="0"/>
        <v>656.25</v>
      </c>
      <c r="G45" s="36">
        <f t="shared" si="1"/>
        <v>262.5</v>
      </c>
      <c r="H45" s="36">
        <f t="shared" si="2"/>
        <v>196.875</v>
      </c>
      <c r="I45" s="36">
        <f t="shared" si="3"/>
        <v>196.875</v>
      </c>
    </row>
    <row r="46" spans="1:9" x14ac:dyDescent="0.25">
      <c r="A46" s="61"/>
      <c r="B46" s="68"/>
      <c r="C46" s="5" t="s">
        <v>23</v>
      </c>
      <c r="D46" s="5" t="s">
        <v>208</v>
      </c>
      <c r="E46" s="19">
        <f>7500*0.05*(1.5+3*1)</f>
        <v>1687.5</v>
      </c>
      <c r="F46" s="48">
        <f t="shared" si="0"/>
        <v>843.75</v>
      </c>
      <c r="G46" s="36">
        <f t="shared" si="1"/>
        <v>337.5</v>
      </c>
      <c r="H46" s="36">
        <f t="shared" si="2"/>
        <v>253.125</v>
      </c>
      <c r="I46" s="36">
        <f t="shared" si="3"/>
        <v>253.125</v>
      </c>
    </row>
    <row r="47" spans="1:9" x14ac:dyDescent="0.25">
      <c r="A47" s="62"/>
      <c r="B47" s="69"/>
      <c r="C47" s="5" t="s">
        <v>25</v>
      </c>
      <c r="D47" s="5" t="s">
        <v>209</v>
      </c>
      <c r="E47" s="19">
        <f>7500*0.05*(1.5+4*1)</f>
        <v>2062.5</v>
      </c>
      <c r="F47" s="48">
        <f t="shared" si="0"/>
        <v>1031.25</v>
      </c>
      <c r="G47" s="36">
        <f t="shared" si="1"/>
        <v>412.5</v>
      </c>
      <c r="H47" s="36">
        <f t="shared" si="2"/>
        <v>309.375</v>
      </c>
      <c r="I47" s="36">
        <f t="shared" si="3"/>
        <v>309.375</v>
      </c>
    </row>
    <row r="48" spans="1:9" ht="30" x14ac:dyDescent="0.25">
      <c r="A48" s="60" t="s">
        <v>196</v>
      </c>
      <c r="B48" s="66" t="s">
        <v>27</v>
      </c>
      <c r="C48" s="6" t="s">
        <v>19</v>
      </c>
      <c r="D48" s="5" t="s">
        <v>167</v>
      </c>
      <c r="E48" s="19">
        <f>7500*0.07*(1.5+1*1)</f>
        <v>1312.5</v>
      </c>
      <c r="F48" s="48">
        <f t="shared" si="0"/>
        <v>656.25</v>
      </c>
      <c r="G48" s="36">
        <f t="shared" si="1"/>
        <v>262.5</v>
      </c>
      <c r="H48" s="36">
        <f t="shared" si="2"/>
        <v>196.875</v>
      </c>
      <c r="I48" s="36">
        <f t="shared" si="3"/>
        <v>196.875</v>
      </c>
    </row>
    <row r="49" spans="1:9" ht="30" x14ac:dyDescent="0.25">
      <c r="A49" s="61"/>
      <c r="B49" s="64"/>
      <c r="C49" s="6" t="s">
        <v>21</v>
      </c>
      <c r="D49" s="5" t="s">
        <v>168</v>
      </c>
      <c r="E49" s="19">
        <f>7500*0.07*(1.5+2*1)</f>
        <v>1837.5</v>
      </c>
      <c r="F49" s="48">
        <f t="shared" si="0"/>
        <v>918.75</v>
      </c>
      <c r="G49" s="36">
        <f t="shared" si="1"/>
        <v>367.5</v>
      </c>
      <c r="H49" s="36">
        <f t="shared" si="2"/>
        <v>275.625</v>
      </c>
      <c r="I49" s="36">
        <f t="shared" si="3"/>
        <v>275.625</v>
      </c>
    </row>
    <row r="50" spans="1:9" x14ac:dyDescent="0.25">
      <c r="A50" s="61"/>
      <c r="B50" s="64"/>
      <c r="C50" s="5" t="s">
        <v>23</v>
      </c>
      <c r="D50" s="5" t="s">
        <v>169</v>
      </c>
      <c r="E50" s="19">
        <f>7500*0.07*(1.5+3*1)</f>
        <v>2362.5</v>
      </c>
      <c r="F50" s="48">
        <f t="shared" si="0"/>
        <v>1181.25</v>
      </c>
      <c r="G50" s="36">
        <f t="shared" si="1"/>
        <v>472.5</v>
      </c>
      <c r="H50" s="36">
        <f t="shared" si="2"/>
        <v>354.375</v>
      </c>
      <c r="I50" s="36">
        <f t="shared" si="3"/>
        <v>354.375</v>
      </c>
    </row>
    <row r="51" spans="1:9" x14ac:dyDescent="0.25">
      <c r="A51" s="62"/>
      <c r="B51" s="65"/>
      <c r="C51" s="5" t="s">
        <v>25</v>
      </c>
      <c r="D51" s="5" t="s">
        <v>170</v>
      </c>
      <c r="E51" s="19">
        <f>7500*0.07*(1.5+4*1)</f>
        <v>2887.5</v>
      </c>
      <c r="F51" s="48">
        <f t="shared" si="0"/>
        <v>1443.75</v>
      </c>
      <c r="G51" s="36">
        <f t="shared" si="1"/>
        <v>577.5</v>
      </c>
      <c r="H51" s="36">
        <f t="shared" si="2"/>
        <v>433.125</v>
      </c>
      <c r="I51" s="36">
        <f t="shared" si="3"/>
        <v>433.125</v>
      </c>
    </row>
    <row r="52" spans="1:9" ht="30" x14ac:dyDescent="0.25">
      <c r="A52" s="60" t="s">
        <v>259</v>
      </c>
      <c r="B52" s="63" t="s">
        <v>45</v>
      </c>
      <c r="C52" s="6" t="s">
        <v>19</v>
      </c>
      <c r="D52" s="5" t="s">
        <v>159</v>
      </c>
      <c r="E52" s="19">
        <f>7500*0.06*(1.5+1*1)</f>
        <v>1125</v>
      </c>
      <c r="F52" s="48">
        <f t="shared" si="0"/>
        <v>562.5</v>
      </c>
      <c r="G52" s="36">
        <f t="shared" si="1"/>
        <v>225</v>
      </c>
      <c r="H52" s="36">
        <f t="shared" si="2"/>
        <v>168.75</v>
      </c>
      <c r="I52" s="36">
        <f t="shared" si="3"/>
        <v>168.75</v>
      </c>
    </row>
    <row r="53" spans="1:9" ht="30" x14ac:dyDescent="0.25">
      <c r="A53" s="61"/>
      <c r="B53" s="64"/>
      <c r="C53" s="6" t="s">
        <v>21</v>
      </c>
      <c r="D53" s="5" t="s">
        <v>160</v>
      </c>
      <c r="E53" s="19">
        <f>7500*0.06*(1.5+2*1)</f>
        <v>1575</v>
      </c>
      <c r="F53" s="48">
        <f t="shared" si="0"/>
        <v>787.5</v>
      </c>
      <c r="G53" s="36">
        <f t="shared" si="1"/>
        <v>315</v>
      </c>
      <c r="H53" s="36">
        <f t="shared" si="2"/>
        <v>236.25</v>
      </c>
      <c r="I53" s="36">
        <f t="shared" si="3"/>
        <v>236.25</v>
      </c>
    </row>
    <row r="54" spans="1:9" x14ac:dyDescent="0.25">
      <c r="A54" s="61"/>
      <c r="B54" s="64"/>
      <c r="C54" s="5" t="s">
        <v>23</v>
      </c>
      <c r="D54" s="5" t="s">
        <v>161</v>
      </c>
      <c r="E54" s="19">
        <f>7500*0.06*(1.5+3*1)</f>
        <v>2025</v>
      </c>
      <c r="F54" s="48">
        <f t="shared" si="0"/>
        <v>1012.5</v>
      </c>
      <c r="G54" s="36">
        <f t="shared" si="1"/>
        <v>405</v>
      </c>
      <c r="H54" s="36">
        <f t="shared" si="2"/>
        <v>303.75</v>
      </c>
      <c r="I54" s="36">
        <f t="shared" si="3"/>
        <v>303.75</v>
      </c>
    </row>
    <row r="55" spans="1:9" x14ac:dyDescent="0.25">
      <c r="A55" s="62"/>
      <c r="B55" s="65"/>
      <c r="C55" s="5" t="s">
        <v>25</v>
      </c>
      <c r="D55" s="5" t="s">
        <v>162</v>
      </c>
      <c r="E55" s="19">
        <f>7500*0.06*(1.5+4*1)</f>
        <v>2475</v>
      </c>
      <c r="F55" s="48">
        <f t="shared" si="0"/>
        <v>1237.5</v>
      </c>
      <c r="G55" s="36">
        <f t="shared" si="1"/>
        <v>495</v>
      </c>
      <c r="H55" s="36">
        <f t="shared" si="2"/>
        <v>371.25</v>
      </c>
      <c r="I55" s="36">
        <f t="shared" si="3"/>
        <v>371.25</v>
      </c>
    </row>
    <row r="56" spans="1:9" x14ac:dyDescent="0.25">
      <c r="A56" s="22" t="s">
        <v>197</v>
      </c>
      <c r="B56" s="8" t="s">
        <v>85</v>
      </c>
      <c r="C56" s="5"/>
      <c r="D56" s="5"/>
      <c r="E56" s="5"/>
      <c r="F56" s="48">
        <f t="shared" si="0"/>
        <v>0</v>
      </c>
      <c r="G56" s="36">
        <f t="shared" si="1"/>
        <v>0</v>
      </c>
      <c r="H56" s="36">
        <f t="shared" si="2"/>
        <v>0</v>
      </c>
      <c r="I56" s="36">
        <f t="shared" si="3"/>
        <v>0</v>
      </c>
    </row>
    <row r="57" spans="1:9" ht="30" x14ac:dyDescent="0.25">
      <c r="A57" s="60" t="s">
        <v>198</v>
      </c>
      <c r="B57" s="67" t="s">
        <v>261</v>
      </c>
      <c r="C57" s="6" t="s">
        <v>19</v>
      </c>
      <c r="D57" s="5" t="s">
        <v>210</v>
      </c>
      <c r="E57" s="19">
        <f>7500*0.05*(1.5+1*1.1)</f>
        <v>975</v>
      </c>
      <c r="F57" s="48">
        <f t="shared" si="0"/>
        <v>487.5</v>
      </c>
      <c r="G57" s="36">
        <f t="shared" si="1"/>
        <v>195</v>
      </c>
      <c r="H57" s="36">
        <f t="shared" si="2"/>
        <v>146.25</v>
      </c>
      <c r="I57" s="36">
        <f t="shared" si="3"/>
        <v>146.25</v>
      </c>
    </row>
    <row r="58" spans="1:9" ht="30" x14ac:dyDescent="0.25">
      <c r="A58" s="61"/>
      <c r="B58" s="68"/>
      <c r="C58" s="6" t="s">
        <v>21</v>
      </c>
      <c r="D58" s="5" t="s">
        <v>211</v>
      </c>
      <c r="E58" s="19">
        <f>7500*0.05*(1.5+2*1.1)</f>
        <v>1387.5</v>
      </c>
      <c r="F58" s="48">
        <f t="shared" si="0"/>
        <v>693.75</v>
      </c>
      <c r="G58" s="36">
        <f t="shared" si="1"/>
        <v>277.5</v>
      </c>
      <c r="H58" s="36">
        <f t="shared" si="2"/>
        <v>208.125</v>
      </c>
      <c r="I58" s="36">
        <f t="shared" si="3"/>
        <v>208.125</v>
      </c>
    </row>
    <row r="59" spans="1:9" x14ac:dyDescent="0.25">
      <c r="A59" s="61"/>
      <c r="B59" s="68"/>
      <c r="C59" s="5" t="s">
        <v>23</v>
      </c>
      <c r="D59" s="5" t="s">
        <v>212</v>
      </c>
      <c r="E59" s="19">
        <f>7500*0.05*(1.5+3*1.1)</f>
        <v>1800.0000000000002</v>
      </c>
      <c r="F59" s="48">
        <f t="shared" si="0"/>
        <v>900.00000000000011</v>
      </c>
      <c r="G59" s="36">
        <f t="shared" si="1"/>
        <v>360.00000000000006</v>
      </c>
      <c r="H59" s="36">
        <f t="shared" si="2"/>
        <v>270</v>
      </c>
      <c r="I59" s="36">
        <f t="shared" si="3"/>
        <v>270</v>
      </c>
    </row>
    <row r="60" spans="1:9" x14ac:dyDescent="0.25">
      <c r="A60" s="62"/>
      <c r="B60" s="69"/>
      <c r="C60" s="5" t="s">
        <v>25</v>
      </c>
      <c r="D60" s="5" t="s">
        <v>213</v>
      </c>
      <c r="E60" s="19">
        <f>7500*0.05*(1.5+4*1.1)</f>
        <v>2212.5</v>
      </c>
      <c r="F60" s="48">
        <f t="shared" si="0"/>
        <v>1106.25</v>
      </c>
      <c r="G60" s="36">
        <f t="shared" si="1"/>
        <v>442.5</v>
      </c>
      <c r="H60" s="36">
        <f t="shared" si="2"/>
        <v>331.875</v>
      </c>
      <c r="I60" s="36">
        <f t="shared" si="3"/>
        <v>331.875</v>
      </c>
    </row>
    <row r="61" spans="1:9" ht="30" x14ac:dyDescent="0.25">
      <c r="A61" s="60" t="s">
        <v>199</v>
      </c>
      <c r="B61" s="67" t="s">
        <v>232</v>
      </c>
      <c r="C61" s="6" t="s">
        <v>19</v>
      </c>
      <c r="D61" s="5" t="s">
        <v>210</v>
      </c>
      <c r="E61" s="19">
        <f>7500*0.05*(1.5+1*1.1)</f>
        <v>975</v>
      </c>
      <c r="F61" s="48">
        <f t="shared" si="0"/>
        <v>487.5</v>
      </c>
      <c r="G61" s="36">
        <f t="shared" si="1"/>
        <v>195</v>
      </c>
      <c r="H61" s="36">
        <f t="shared" si="2"/>
        <v>146.25</v>
      </c>
      <c r="I61" s="36">
        <f t="shared" si="3"/>
        <v>146.25</v>
      </c>
    </row>
    <row r="62" spans="1:9" ht="30" x14ac:dyDescent="0.25">
      <c r="A62" s="61"/>
      <c r="B62" s="68"/>
      <c r="C62" s="6" t="s">
        <v>21</v>
      </c>
      <c r="D62" s="5" t="s">
        <v>211</v>
      </c>
      <c r="E62" s="19">
        <f>7500*0.05*(1.5+2*1.1)</f>
        <v>1387.5</v>
      </c>
      <c r="F62" s="48">
        <f t="shared" si="0"/>
        <v>693.75</v>
      </c>
      <c r="G62" s="36">
        <f t="shared" si="1"/>
        <v>277.5</v>
      </c>
      <c r="H62" s="36">
        <f t="shared" si="2"/>
        <v>208.125</v>
      </c>
      <c r="I62" s="36">
        <f t="shared" si="3"/>
        <v>208.125</v>
      </c>
    </row>
    <row r="63" spans="1:9" x14ac:dyDescent="0.25">
      <c r="A63" s="61"/>
      <c r="B63" s="68"/>
      <c r="C63" s="5" t="s">
        <v>23</v>
      </c>
      <c r="D63" s="5" t="s">
        <v>212</v>
      </c>
      <c r="E63" s="19">
        <f>7500*0.05*(1.5+3*1.1)</f>
        <v>1800.0000000000002</v>
      </c>
      <c r="F63" s="48">
        <f t="shared" si="0"/>
        <v>900.00000000000011</v>
      </c>
      <c r="G63" s="36">
        <f t="shared" si="1"/>
        <v>360.00000000000006</v>
      </c>
      <c r="H63" s="36">
        <f t="shared" si="2"/>
        <v>270</v>
      </c>
      <c r="I63" s="36">
        <f t="shared" si="3"/>
        <v>270</v>
      </c>
    </row>
    <row r="64" spans="1:9" x14ac:dyDescent="0.25">
      <c r="A64" s="62"/>
      <c r="B64" s="69"/>
      <c r="C64" s="5" t="s">
        <v>25</v>
      </c>
      <c r="D64" s="5" t="s">
        <v>213</v>
      </c>
      <c r="E64" s="19">
        <f>7500*0.05*(1.5+4*1.1)</f>
        <v>2212.5</v>
      </c>
      <c r="F64" s="48">
        <f t="shared" si="0"/>
        <v>1106.25</v>
      </c>
      <c r="G64" s="36">
        <f t="shared" si="1"/>
        <v>442.5</v>
      </c>
      <c r="H64" s="36">
        <f t="shared" si="2"/>
        <v>331.875</v>
      </c>
      <c r="I64" s="36">
        <f t="shared" si="3"/>
        <v>331.875</v>
      </c>
    </row>
    <row r="65" spans="1:9" ht="30" x14ac:dyDescent="0.25">
      <c r="A65" s="60" t="s">
        <v>200</v>
      </c>
      <c r="B65" s="66" t="s">
        <v>27</v>
      </c>
      <c r="C65" s="6" t="s">
        <v>19</v>
      </c>
      <c r="D65" s="5" t="s">
        <v>179</v>
      </c>
      <c r="E65" s="19">
        <f>7500*0.07*(1.5+1*1.1)</f>
        <v>1365</v>
      </c>
      <c r="F65" s="48">
        <f t="shared" si="0"/>
        <v>682.5</v>
      </c>
      <c r="G65" s="36">
        <f t="shared" si="1"/>
        <v>273</v>
      </c>
      <c r="H65" s="36">
        <f t="shared" si="2"/>
        <v>204.75</v>
      </c>
      <c r="I65" s="36">
        <f t="shared" si="3"/>
        <v>204.75</v>
      </c>
    </row>
    <row r="66" spans="1:9" ht="30" x14ac:dyDescent="0.25">
      <c r="A66" s="61"/>
      <c r="B66" s="64"/>
      <c r="C66" s="6" t="s">
        <v>21</v>
      </c>
      <c r="D66" s="5" t="s">
        <v>180</v>
      </c>
      <c r="E66" s="19">
        <f>7500*0.07*(1.5+2*1.1)</f>
        <v>1942.5</v>
      </c>
      <c r="F66" s="48">
        <f t="shared" si="0"/>
        <v>971.25</v>
      </c>
      <c r="G66" s="36">
        <f t="shared" si="1"/>
        <v>388.5</v>
      </c>
      <c r="H66" s="36">
        <f t="shared" si="2"/>
        <v>291.375</v>
      </c>
      <c r="I66" s="36">
        <f t="shared" si="3"/>
        <v>291.375</v>
      </c>
    </row>
    <row r="67" spans="1:9" x14ac:dyDescent="0.25">
      <c r="A67" s="61"/>
      <c r="B67" s="64"/>
      <c r="C67" s="5" t="s">
        <v>23</v>
      </c>
      <c r="D67" s="5" t="s">
        <v>181</v>
      </c>
      <c r="E67" s="19">
        <f>7500*0.07*(1.5+3*1.1)</f>
        <v>2520.0000000000005</v>
      </c>
      <c r="F67" s="48">
        <f t="shared" si="0"/>
        <v>1260.0000000000002</v>
      </c>
      <c r="G67" s="36">
        <f t="shared" si="1"/>
        <v>504.00000000000011</v>
      </c>
      <c r="H67" s="36">
        <f t="shared" si="2"/>
        <v>378.00000000000006</v>
      </c>
      <c r="I67" s="36">
        <f t="shared" si="3"/>
        <v>378.00000000000006</v>
      </c>
    </row>
    <row r="68" spans="1:9" x14ac:dyDescent="0.25">
      <c r="A68" s="62"/>
      <c r="B68" s="65"/>
      <c r="C68" s="5" t="s">
        <v>25</v>
      </c>
      <c r="D68" s="5" t="s">
        <v>182</v>
      </c>
      <c r="E68" s="19">
        <f>7500*0.07*(1.5+4*1.1)</f>
        <v>3097.5</v>
      </c>
      <c r="F68" s="48">
        <f t="shared" si="0"/>
        <v>1548.75</v>
      </c>
      <c r="G68" s="36">
        <f t="shared" si="1"/>
        <v>619.5</v>
      </c>
      <c r="H68" s="36">
        <f t="shared" si="2"/>
        <v>464.625</v>
      </c>
      <c r="I68" s="36">
        <f t="shared" si="3"/>
        <v>464.625</v>
      </c>
    </row>
    <row r="69" spans="1:9" ht="30" x14ac:dyDescent="0.25">
      <c r="A69" s="60" t="s">
        <v>260</v>
      </c>
      <c r="B69" s="63" t="s">
        <v>45</v>
      </c>
      <c r="C69" s="6" t="s">
        <v>19</v>
      </c>
      <c r="D69" s="5" t="s">
        <v>171</v>
      </c>
      <c r="E69" s="19">
        <f>7500*0.06*(1.5+1*1.1)</f>
        <v>1170</v>
      </c>
      <c r="F69" s="48">
        <f t="shared" si="0"/>
        <v>585</v>
      </c>
      <c r="G69" s="36">
        <f t="shared" si="1"/>
        <v>234</v>
      </c>
      <c r="H69" s="36">
        <f t="shared" si="2"/>
        <v>175.5</v>
      </c>
      <c r="I69" s="36">
        <f t="shared" si="3"/>
        <v>175.5</v>
      </c>
    </row>
    <row r="70" spans="1:9" ht="30" x14ac:dyDescent="0.25">
      <c r="A70" s="61"/>
      <c r="B70" s="64"/>
      <c r="C70" s="6" t="s">
        <v>21</v>
      </c>
      <c r="D70" s="5" t="s">
        <v>172</v>
      </c>
      <c r="E70" s="19">
        <f>7500*0.06*(1.5+2*1.1)</f>
        <v>1665</v>
      </c>
      <c r="F70" s="48">
        <f t="shared" si="0"/>
        <v>832.5</v>
      </c>
      <c r="G70" s="36">
        <f t="shared" si="1"/>
        <v>333</v>
      </c>
      <c r="H70" s="36">
        <f t="shared" si="2"/>
        <v>249.75</v>
      </c>
      <c r="I70" s="36">
        <f t="shared" si="3"/>
        <v>249.75</v>
      </c>
    </row>
    <row r="71" spans="1:9" x14ac:dyDescent="0.25">
      <c r="A71" s="61"/>
      <c r="B71" s="64"/>
      <c r="C71" s="5" t="s">
        <v>23</v>
      </c>
      <c r="D71" s="5" t="s">
        <v>173</v>
      </c>
      <c r="E71" s="19">
        <f>7500*0.06*(1.5+3*1.1)</f>
        <v>2160.0000000000005</v>
      </c>
      <c r="F71" s="48">
        <f t="shared" ref="F71:F72" si="4">E71/2</f>
        <v>1080.0000000000002</v>
      </c>
      <c r="G71" s="36">
        <f t="shared" ref="G71:G72" si="5">E71*0.2</f>
        <v>432.00000000000011</v>
      </c>
      <c r="H71" s="36">
        <f t="shared" ref="H71:H72" si="6">E71*0.15</f>
        <v>324.00000000000006</v>
      </c>
      <c r="I71" s="36">
        <f t="shared" ref="I71:I72" si="7">E71*0.15</f>
        <v>324.00000000000006</v>
      </c>
    </row>
    <row r="72" spans="1:9" x14ac:dyDescent="0.25">
      <c r="A72" s="62"/>
      <c r="B72" s="65"/>
      <c r="C72" s="5" t="s">
        <v>25</v>
      </c>
      <c r="D72" s="5" t="s">
        <v>174</v>
      </c>
      <c r="E72" s="19">
        <f>7500*0.06*(1.5+4*1.1)</f>
        <v>2655</v>
      </c>
      <c r="F72" s="48">
        <f t="shared" si="4"/>
        <v>1327.5</v>
      </c>
      <c r="G72" s="36">
        <f t="shared" si="5"/>
        <v>531</v>
      </c>
      <c r="H72" s="36">
        <f t="shared" si="6"/>
        <v>398.25</v>
      </c>
      <c r="I72" s="36">
        <f t="shared" si="7"/>
        <v>398.25</v>
      </c>
    </row>
  </sheetData>
  <mergeCells count="33">
    <mergeCell ref="A57:A60"/>
    <mergeCell ref="B57:B60"/>
    <mergeCell ref="A65:A68"/>
    <mergeCell ref="B65:B68"/>
    <mergeCell ref="A69:A72"/>
    <mergeCell ref="B69:B72"/>
    <mergeCell ref="A61:A64"/>
    <mergeCell ref="B61:B64"/>
    <mergeCell ref="A40:A43"/>
    <mergeCell ref="B40:B43"/>
    <mergeCell ref="A48:A51"/>
    <mergeCell ref="B48:B51"/>
    <mergeCell ref="A52:A55"/>
    <mergeCell ref="B52:B55"/>
    <mergeCell ref="A44:A47"/>
    <mergeCell ref="B44:B47"/>
    <mergeCell ref="A31:A34"/>
    <mergeCell ref="B31:B34"/>
    <mergeCell ref="A35:A38"/>
    <mergeCell ref="B35:B38"/>
    <mergeCell ref="A27:A30"/>
    <mergeCell ref="B27:B30"/>
    <mergeCell ref="A18:A21"/>
    <mergeCell ref="B18:B21"/>
    <mergeCell ref="A10:A13"/>
    <mergeCell ref="B10:B13"/>
    <mergeCell ref="A23:A26"/>
    <mergeCell ref="B23:B26"/>
    <mergeCell ref="A1:I1"/>
    <mergeCell ref="A6:A9"/>
    <mergeCell ref="B6:B9"/>
    <mergeCell ref="A14:A17"/>
    <mergeCell ref="B14:B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E14" sqref="E14"/>
    </sheetView>
  </sheetViews>
  <sheetFormatPr defaultRowHeight="15" x14ac:dyDescent="0.25"/>
  <cols>
    <col min="2" max="2" width="26.7109375" customWidth="1"/>
    <col min="3" max="3" width="34.85546875" customWidth="1"/>
    <col min="4" max="4" width="23.42578125" customWidth="1"/>
    <col min="5" max="5" width="14.85546875" customWidth="1"/>
    <col min="6" max="6" width="16.7109375" customWidth="1"/>
    <col min="7" max="7" width="17.140625" customWidth="1"/>
    <col min="8" max="8" width="16.28515625" customWidth="1"/>
    <col min="9" max="9" width="17.140625" customWidth="1"/>
  </cols>
  <sheetData>
    <row r="1" spans="1:9" x14ac:dyDescent="0.25">
      <c r="A1" s="72" t="s">
        <v>272</v>
      </c>
      <c r="B1" s="72"/>
      <c r="C1" s="72"/>
      <c r="D1" s="72"/>
      <c r="E1" s="72"/>
      <c r="F1" s="72"/>
      <c r="G1" s="72"/>
      <c r="H1" s="72"/>
      <c r="I1" s="72"/>
    </row>
    <row r="2" spans="1:9" ht="89.25" customHeight="1" x14ac:dyDescent="0.25">
      <c r="A2" s="5"/>
      <c r="B2" s="29" t="s">
        <v>14</v>
      </c>
      <c r="C2" s="29" t="s">
        <v>15</v>
      </c>
      <c r="D2" s="30" t="s">
        <v>16</v>
      </c>
      <c r="E2" s="30" t="s">
        <v>266</v>
      </c>
      <c r="F2" s="49" t="s">
        <v>267</v>
      </c>
      <c r="G2" s="30" t="s">
        <v>230</v>
      </c>
      <c r="H2" s="31" t="s">
        <v>255</v>
      </c>
      <c r="I2" s="31" t="s">
        <v>269</v>
      </c>
    </row>
    <row r="3" spans="1:9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50" t="s">
        <v>235</v>
      </c>
      <c r="G3" s="32" t="s">
        <v>236</v>
      </c>
      <c r="H3" s="32" t="s">
        <v>237</v>
      </c>
      <c r="I3" s="32" t="s">
        <v>256</v>
      </c>
    </row>
    <row r="4" spans="1:9" ht="60" x14ac:dyDescent="0.25">
      <c r="A4" s="25">
        <v>4</v>
      </c>
      <c r="B4" s="26" t="s">
        <v>183</v>
      </c>
      <c r="C4" s="4"/>
      <c r="D4" s="4"/>
      <c r="E4" s="4"/>
      <c r="F4" s="51"/>
      <c r="G4" s="3"/>
      <c r="H4" s="3"/>
      <c r="I4" s="3"/>
    </row>
    <row r="5" spans="1:9" x14ac:dyDescent="0.25">
      <c r="A5" s="22" t="s">
        <v>273</v>
      </c>
      <c r="B5" s="9" t="s">
        <v>18</v>
      </c>
      <c r="C5" s="3"/>
      <c r="D5" s="3"/>
      <c r="E5" s="3"/>
      <c r="F5" s="51"/>
      <c r="G5" s="3"/>
      <c r="H5" s="3"/>
      <c r="I5" s="3"/>
    </row>
    <row r="6" spans="1:9" ht="30" x14ac:dyDescent="0.25">
      <c r="A6" s="60" t="s">
        <v>274</v>
      </c>
      <c r="B6" s="67" t="s">
        <v>243</v>
      </c>
      <c r="C6" s="6" t="s">
        <v>19</v>
      </c>
      <c r="D6" s="5" t="s">
        <v>136</v>
      </c>
      <c r="E6" s="7">
        <f>7500*0.06*(1.5+1*0.5)</f>
        <v>900</v>
      </c>
      <c r="F6" s="52">
        <f>E6*0.5</f>
        <v>450</v>
      </c>
      <c r="G6" s="34">
        <f>E6*0.2</f>
        <v>180</v>
      </c>
      <c r="H6" s="34">
        <f>E6*0.15</f>
        <v>135</v>
      </c>
      <c r="I6" s="34">
        <f>E6*0.15</f>
        <v>135</v>
      </c>
    </row>
    <row r="7" spans="1:9" ht="30" x14ac:dyDescent="0.25">
      <c r="A7" s="61"/>
      <c r="B7" s="68"/>
      <c r="C7" s="6" t="s">
        <v>21</v>
      </c>
      <c r="D7" s="5" t="s">
        <v>137</v>
      </c>
      <c r="E7" s="7">
        <f>7500*0.06*(1.5+2*0.5)</f>
        <v>1125</v>
      </c>
      <c r="F7" s="52">
        <f t="shared" ref="F7:F70" si="0">E7*0.5</f>
        <v>562.5</v>
      </c>
      <c r="G7" s="34">
        <f t="shared" ref="G7:G70" si="1">E7*0.2</f>
        <v>225</v>
      </c>
      <c r="H7" s="34">
        <f t="shared" ref="H7:H70" si="2">E7*0.15</f>
        <v>168.75</v>
      </c>
      <c r="I7" s="34">
        <f t="shared" ref="I7:I70" si="3">E7*0.15</f>
        <v>168.75</v>
      </c>
    </row>
    <row r="8" spans="1:9" x14ac:dyDescent="0.25">
      <c r="A8" s="61"/>
      <c r="B8" s="68"/>
      <c r="C8" s="5" t="s">
        <v>23</v>
      </c>
      <c r="D8" s="5" t="s">
        <v>138</v>
      </c>
      <c r="E8" s="7">
        <f>7500*0.06*(1.5+3*0.5)</f>
        <v>1350</v>
      </c>
      <c r="F8" s="52">
        <f t="shared" si="0"/>
        <v>675</v>
      </c>
      <c r="G8" s="34">
        <f t="shared" si="1"/>
        <v>270</v>
      </c>
      <c r="H8" s="34">
        <f t="shared" si="2"/>
        <v>202.5</v>
      </c>
      <c r="I8" s="34">
        <f t="shared" si="3"/>
        <v>202.5</v>
      </c>
    </row>
    <row r="9" spans="1:9" x14ac:dyDescent="0.25">
      <c r="A9" s="62"/>
      <c r="B9" s="69"/>
      <c r="C9" s="5" t="s">
        <v>25</v>
      </c>
      <c r="D9" s="5" t="s">
        <v>139</v>
      </c>
      <c r="E9" s="7">
        <f>7500*0.06*(1.5+4*0.5)</f>
        <v>1575</v>
      </c>
      <c r="F9" s="52">
        <f t="shared" si="0"/>
        <v>787.5</v>
      </c>
      <c r="G9" s="34">
        <f t="shared" si="1"/>
        <v>315</v>
      </c>
      <c r="H9" s="34">
        <f t="shared" si="2"/>
        <v>236.25</v>
      </c>
      <c r="I9" s="34">
        <f t="shared" si="3"/>
        <v>236.25</v>
      </c>
    </row>
    <row r="10" spans="1:9" ht="30" x14ac:dyDescent="0.25">
      <c r="A10" s="60" t="s">
        <v>275</v>
      </c>
      <c r="B10" s="67" t="s">
        <v>232</v>
      </c>
      <c r="C10" s="6" t="s">
        <v>19</v>
      </c>
      <c r="D10" s="5" t="s">
        <v>136</v>
      </c>
      <c r="E10" s="7">
        <f>7500*0.06*(1.5+1*0.5)</f>
        <v>900</v>
      </c>
      <c r="F10" s="52">
        <f t="shared" si="0"/>
        <v>450</v>
      </c>
      <c r="G10" s="34">
        <f t="shared" si="1"/>
        <v>180</v>
      </c>
      <c r="H10" s="34">
        <f t="shared" si="2"/>
        <v>135</v>
      </c>
      <c r="I10" s="34">
        <f t="shared" si="3"/>
        <v>135</v>
      </c>
    </row>
    <row r="11" spans="1:9" ht="30" x14ac:dyDescent="0.25">
      <c r="A11" s="61"/>
      <c r="B11" s="68"/>
      <c r="C11" s="6" t="s">
        <v>21</v>
      </c>
      <c r="D11" s="5" t="s">
        <v>137</v>
      </c>
      <c r="E11" s="7">
        <f>7500*0.06*(1.5+2*0.5)</f>
        <v>1125</v>
      </c>
      <c r="F11" s="52">
        <f t="shared" si="0"/>
        <v>562.5</v>
      </c>
      <c r="G11" s="34">
        <f t="shared" si="1"/>
        <v>225</v>
      </c>
      <c r="H11" s="34">
        <f t="shared" si="2"/>
        <v>168.75</v>
      </c>
      <c r="I11" s="34">
        <f t="shared" si="3"/>
        <v>168.75</v>
      </c>
    </row>
    <row r="12" spans="1:9" x14ac:dyDescent="0.25">
      <c r="A12" s="61"/>
      <c r="B12" s="68"/>
      <c r="C12" s="5" t="s">
        <v>23</v>
      </c>
      <c r="D12" s="5" t="s">
        <v>138</v>
      </c>
      <c r="E12" s="7">
        <f>7500*0.06*(1.5+3*0.5)</f>
        <v>1350</v>
      </c>
      <c r="F12" s="52">
        <f t="shared" si="0"/>
        <v>675</v>
      </c>
      <c r="G12" s="34">
        <f t="shared" si="1"/>
        <v>270</v>
      </c>
      <c r="H12" s="34">
        <f t="shared" si="2"/>
        <v>202.5</v>
      </c>
      <c r="I12" s="34">
        <f t="shared" si="3"/>
        <v>202.5</v>
      </c>
    </row>
    <row r="13" spans="1:9" x14ac:dyDescent="0.25">
      <c r="A13" s="62"/>
      <c r="B13" s="69"/>
      <c r="C13" s="5" t="s">
        <v>25</v>
      </c>
      <c r="D13" s="5" t="s">
        <v>139</v>
      </c>
      <c r="E13" s="7">
        <f>7500*0.06*(1.5+4*0.5)</f>
        <v>1575</v>
      </c>
      <c r="F13" s="52">
        <f t="shared" si="0"/>
        <v>787.5</v>
      </c>
      <c r="G13" s="34">
        <f t="shared" si="1"/>
        <v>315</v>
      </c>
      <c r="H13" s="34">
        <f t="shared" si="2"/>
        <v>236.25</v>
      </c>
      <c r="I13" s="34">
        <f t="shared" si="3"/>
        <v>236.25</v>
      </c>
    </row>
    <row r="14" spans="1:9" ht="30" x14ac:dyDescent="0.25">
      <c r="A14" s="60" t="s">
        <v>277</v>
      </c>
      <c r="B14" s="66" t="s">
        <v>27</v>
      </c>
      <c r="C14" s="6" t="s">
        <v>19</v>
      </c>
      <c r="D14" s="5" t="s">
        <v>140</v>
      </c>
      <c r="E14" s="7">
        <f>7500*0.08*(1.5+1*0.5)</f>
        <v>1200</v>
      </c>
      <c r="F14" s="52">
        <f t="shared" si="0"/>
        <v>600</v>
      </c>
      <c r="G14" s="34">
        <f t="shared" si="1"/>
        <v>240</v>
      </c>
      <c r="H14" s="34">
        <f t="shared" si="2"/>
        <v>180</v>
      </c>
      <c r="I14" s="34">
        <f t="shared" si="3"/>
        <v>180</v>
      </c>
    </row>
    <row r="15" spans="1:9" ht="30" x14ac:dyDescent="0.25">
      <c r="A15" s="61"/>
      <c r="B15" s="64"/>
      <c r="C15" s="6" t="s">
        <v>21</v>
      </c>
      <c r="D15" s="5" t="s">
        <v>141</v>
      </c>
      <c r="E15" s="7">
        <f>7500*0.08*(1.5+2*0.5)</f>
        <v>1500</v>
      </c>
      <c r="F15" s="52">
        <f t="shared" si="0"/>
        <v>750</v>
      </c>
      <c r="G15" s="34">
        <f t="shared" si="1"/>
        <v>300</v>
      </c>
      <c r="H15" s="34">
        <f t="shared" si="2"/>
        <v>225</v>
      </c>
      <c r="I15" s="34">
        <f t="shared" si="3"/>
        <v>225</v>
      </c>
    </row>
    <row r="16" spans="1:9" x14ac:dyDescent="0.25">
      <c r="A16" s="61"/>
      <c r="B16" s="64"/>
      <c r="C16" s="5" t="s">
        <v>23</v>
      </c>
      <c r="D16" s="5" t="s">
        <v>142</v>
      </c>
      <c r="E16" s="7">
        <f>7500*0.08*(1.5+3*0.5)</f>
        <v>1800</v>
      </c>
      <c r="F16" s="52">
        <f t="shared" si="0"/>
        <v>900</v>
      </c>
      <c r="G16" s="34">
        <f t="shared" si="1"/>
        <v>360</v>
      </c>
      <c r="H16" s="34">
        <f t="shared" si="2"/>
        <v>270</v>
      </c>
      <c r="I16" s="34">
        <f t="shared" si="3"/>
        <v>270</v>
      </c>
    </row>
    <row r="17" spans="1:9" x14ac:dyDescent="0.25">
      <c r="A17" s="62"/>
      <c r="B17" s="65"/>
      <c r="C17" s="5" t="s">
        <v>25</v>
      </c>
      <c r="D17" s="5" t="s">
        <v>143</v>
      </c>
      <c r="E17" s="7">
        <f>7500*0.08*(1.5+4*0.5)</f>
        <v>2100</v>
      </c>
      <c r="F17" s="52">
        <f t="shared" si="0"/>
        <v>1050</v>
      </c>
      <c r="G17" s="34">
        <f t="shared" si="1"/>
        <v>420</v>
      </c>
      <c r="H17" s="34">
        <f t="shared" si="2"/>
        <v>315</v>
      </c>
      <c r="I17" s="34">
        <f t="shared" si="3"/>
        <v>315</v>
      </c>
    </row>
    <row r="18" spans="1:9" ht="30" x14ac:dyDescent="0.25">
      <c r="A18" s="60" t="s">
        <v>278</v>
      </c>
      <c r="B18" s="63" t="s">
        <v>45</v>
      </c>
      <c r="C18" s="6" t="s">
        <v>19</v>
      </c>
      <c r="D18" s="5" t="s">
        <v>144</v>
      </c>
      <c r="E18" s="7">
        <f>7500*0.07*(1.5+1*0.5)</f>
        <v>1050</v>
      </c>
      <c r="F18" s="52">
        <f t="shared" si="0"/>
        <v>525</v>
      </c>
      <c r="G18" s="34">
        <f t="shared" si="1"/>
        <v>210</v>
      </c>
      <c r="H18" s="34">
        <f t="shared" si="2"/>
        <v>157.5</v>
      </c>
      <c r="I18" s="34">
        <f t="shared" si="3"/>
        <v>157.5</v>
      </c>
    </row>
    <row r="19" spans="1:9" ht="30" x14ac:dyDescent="0.25">
      <c r="A19" s="61"/>
      <c r="B19" s="64"/>
      <c r="C19" s="6" t="s">
        <v>21</v>
      </c>
      <c r="D19" s="5" t="s">
        <v>145</v>
      </c>
      <c r="E19" s="7">
        <f>7500*0.07*(1.5+2*0.5)</f>
        <v>1312.5</v>
      </c>
      <c r="F19" s="52">
        <f t="shared" si="0"/>
        <v>656.25</v>
      </c>
      <c r="G19" s="34">
        <f t="shared" si="1"/>
        <v>262.5</v>
      </c>
      <c r="H19" s="34">
        <f t="shared" si="2"/>
        <v>196.875</v>
      </c>
      <c r="I19" s="34">
        <f t="shared" si="3"/>
        <v>196.875</v>
      </c>
    </row>
    <row r="20" spans="1:9" x14ac:dyDescent="0.25">
      <c r="A20" s="61"/>
      <c r="B20" s="64"/>
      <c r="C20" s="5" t="s">
        <v>23</v>
      </c>
      <c r="D20" s="5" t="s">
        <v>146</v>
      </c>
      <c r="E20" s="7">
        <f>7500*0.07*(1.5+3*0.5)</f>
        <v>1575</v>
      </c>
      <c r="F20" s="52">
        <f t="shared" si="0"/>
        <v>787.5</v>
      </c>
      <c r="G20" s="34">
        <f t="shared" si="1"/>
        <v>315</v>
      </c>
      <c r="H20" s="34">
        <f t="shared" si="2"/>
        <v>236.25</v>
      </c>
      <c r="I20" s="34">
        <f t="shared" si="3"/>
        <v>236.25</v>
      </c>
    </row>
    <row r="21" spans="1:9" x14ac:dyDescent="0.25">
      <c r="A21" s="62"/>
      <c r="B21" s="65"/>
      <c r="C21" s="5" t="s">
        <v>25</v>
      </c>
      <c r="D21" s="5" t="s">
        <v>147</v>
      </c>
      <c r="E21" s="7">
        <f>7500*0.07*(1.5+4*0.5)</f>
        <v>1837.5</v>
      </c>
      <c r="F21" s="52">
        <f t="shared" si="0"/>
        <v>918.75</v>
      </c>
      <c r="G21" s="34">
        <f t="shared" si="1"/>
        <v>367.5</v>
      </c>
      <c r="H21" s="34">
        <f t="shared" si="2"/>
        <v>275.625</v>
      </c>
      <c r="I21" s="34">
        <f t="shared" si="3"/>
        <v>275.625</v>
      </c>
    </row>
    <row r="22" spans="1:9" x14ac:dyDescent="0.25">
      <c r="A22" s="20" t="s">
        <v>279</v>
      </c>
      <c r="B22" s="16" t="s">
        <v>30</v>
      </c>
      <c r="C22" s="17"/>
      <c r="D22" s="18"/>
      <c r="E22" s="7"/>
      <c r="F22" s="52">
        <f t="shared" si="0"/>
        <v>0</v>
      </c>
      <c r="G22" s="34">
        <f t="shared" si="1"/>
        <v>0</v>
      </c>
      <c r="H22" s="34">
        <f t="shared" si="2"/>
        <v>0</v>
      </c>
      <c r="I22" s="34">
        <f t="shared" si="3"/>
        <v>0</v>
      </c>
    </row>
    <row r="23" spans="1:9" ht="30" x14ac:dyDescent="0.25">
      <c r="A23" s="60" t="s">
        <v>280</v>
      </c>
      <c r="B23" s="67" t="s">
        <v>263</v>
      </c>
      <c r="C23" s="6" t="s">
        <v>19</v>
      </c>
      <c r="D23" s="5" t="s">
        <v>148</v>
      </c>
      <c r="E23" s="7">
        <f>7500*0.06*(1.5+1*0.8)</f>
        <v>1035</v>
      </c>
      <c r="F23" s="52">
        <f t="shared" si="0"/>
        <v>517.5</v>
      </c>
      <c r="G23" s="34">
        <f t="shared" si="1"/>
        <v>207</v>
      </c>
      <c r="H23" s="34">
        <f t="shared" si="2"/>
        <v>155.25</v>
      </c>
      <c r="I23" s="34">
        <f t="shared" si="3"/>
        <v>155.25</v>
      </c>
    </row>
    <row r="24" spans="1:9" ht="30" x14ac:dyDescent="0.25">
      <c r="A24" s="61"/>
      <c r="B24" s="68"/>
      <c r="C24" s="6" t="s">
        <v>21</v>
      </c>
      <c r="D24" s="5" t="s">
        <v>221</v>
      </c>
      <c r="E24" s="7">
        <f>7500*0.06*(1.5+2*0.8)</f>
        <v>1395</v>
      </c>
      <c r="F24" s="52">
        <f t="shared" si="0"/>
        <v>697.5</v>
      </c>
      <c r="G24" s="34">
        <f t="shared" si="1"/>
        <v>279</v>
      </c>
      <c r="H24" s="34">
        <f t="shared" si="2"/>
        <v>209.25</v>
      </c>
      <c r="I24" s="34">
        <f t="shared" si="3"/>
        <v>209.25</v>
      </c>
    </row>
    <row r="25" spans="1:9" x14ac:dyDescent="0.25">
      <c r="A25" s="61"/>
      <c r="B25" s="68"/>
      <c r="C25" s="5" t="s">
        <v>23</v>
      </c>
      <c r="D25" s="5" t="s">
        <v>157</v>
      </c>
      <c r="E25" s="7">
        <f>7500*0.06*(1.5+3*0.8)</f>
        <v>1755.0000000000002</v>
      </c>
      <c r="F25" s="52">
        <f t="shared" si="0"/>
        <v>877.50000000000011</v>
      </c>
      <c r="G25" s="34">
        <f t="shared" si="1"/>
        <v>351.00000000000006</v>
      </c>
      <c r="H25" s="34">
        <f t="shared" si="2"/>
        <v>263.25</v>
      </c>
      <c r="I25" s="34">
        <f t="shared" si="3"/>
        <v>263.25</v>
      </c>
    </row>
    <row r="26" spans="1:9" x14ac:dyDescent="0.25">
      <c r="A26" s="62"/>
      <c r="B26" s="69"/>
      <c r="C26" s="5" t="s">
        <v>25</v>
      </c>
      <c r="D26" s="5" t="s">
        <v>158</v>
      </c>
      <c r="E26" s="7">
        <f>7500*0.06*(1.5+4*0.8)</f>
        <v>2115</v>
      </c>
      <c r="F26" s="52">
        <f t="shared" si="0"/>
        <v>1057.5</v>
      </c>
      <c r="G26" s="34">
        <f t="shared" si="1"/>
        <v>423</v>
      </c>
      <c r="H26" s="34">
        <f t="shared" si="2"/>
        <v>317.25</v>
      </c>
      <c r="I26" s="34">
        <f t="shared" si="3"/>
        <v>317.25</v>
      </c>
    </row>
    <row r="27" spans="1:9" ht="30" x14ac:dyDescent="0.25">
      <c r="A27" s="60" t="s">
        <v>281</v>
      </c>
      <c r="B27" s="67" t="s">
        <v>232</v>
      </c>
      <c r="C27" s="6" t="s">
        <v>19</v>
      </c>
      <c r="D27" s="5" t="s">
        <v>148</v>
      </c>
      <c r="E27" s="7">
        <f>7500*0.06*(1.5+1*0.8)</f>
        <v>1035</v>
      </c>
      <c r="F27" s="52">
        <f t="shared" si="0"/>
        <v>517.5</v>
      </c>
      <c r="G27" s="34">
        <f t="shared" si="1"/>
        <v>207</v>
      </c>
      <c r="H27" s="34">
        <f t="shared" si="2"/>
        <v>155.25</v>
      </c>
      <c r="I27" s="34">
        <f t="shared" si="3"/>
        <v>155.25</v>
      </c>
    </row>
    <row r="28" spans="1:9" ht="30" x14ac:dyDescent="0.25">
      <c r="A28" s="61"/>
      <c r="B28" s="68"/>
      <c r="C28" s="6" t="s">
        <v>21</v>
      </c>
      <c r="D28" s="5" t="s">
        <v>221</v>
      </c>
      <c r="E28" s="7">
        <f>7500*0.06*(1.5+2*0.8)</f>
        <v>1395</v>
      </c>
      <c r="F28" s="52">
        <f t="shared" si="0"/>
        <v>697.5</v>
      </c>
      <c r="G28" s="34">
        <f t="shared" si="1"/>
        <v>279</v>
      </c>
      <c r="H28" s="34">
        <f t="shared" si="2"/>
        <v>209.25</v>
      </c>
      <c r="I28" s="34">
        <f t="shared" si="3"/>
        <v>209.25</v>
      </c>
    </row>
    <row r="29" spans="1:9" x14ac:dyDescent="0.25">
      <c r="A29" s="61"/>
      <c r="B29" s="68"/>
      <c r="C29" s="5" t="s">
        <v>23</v>
      </c>
      <c r="D29" s="5" t="s">
        <v>157</v>
      </c>
      <c r="E29" s="7">
        <f>7500*0.06*(1.5+3*0.8)</f>
        <v>1755.0000000000002</v>
      </c>
      <c r="F29" s="52">
        <f t="shared" si="0"/>
        <v>877.50000000000011</v>
      </c>
      <c r="G29" s="34">
        <f t="shared" si="1"/>
        <v>351.00000000000006</v>
      </c>
      <c r="H29" s="34">
        <f t="shared" si="2"/>
        <v>263.25</v>
      </c>
      <c r="I29" s="34">
        <f t="shared" si="3"/>
        <v>263.25</v>
      </c>
    </row>
    <row r="30" spans="1:9" x14ac:dyDescent="0.25">
      <c r="A30" s="62"/>
      <c r="B30" s="69"/>
      <c r="C30" s="5" t="s">
        <v>25</v>
      </c>
      <c r="D30" s="5" t="s">
        <v>158</v>
      </c>
      <c r="E30" s="7">
        <f>7500*0.06*(1.5+4*0.8)</f>
        <v>2115</v>
      </c>
      <c r="F30" s="52">
        <f t="shared" si="0"/>
        <v>1057.5</v>
      </c>
      <c r="G30" s="34">
        <f t="shared" si="1"/>
        <v>423</v>
      </c>
      <c r="H30" s="34">
        <f t="shared" si="2"/>
        <v>317.25</v>
      </c>
      <c r="I30" s="34">
        <f t="shared" si="3"/>
        <v>317.25</v>
      </c>
    </row>
    <row r="31" spans="1:9" ht="30" x14ac:dyDescent="0.25">
      <c r="A31" s="60" t="s">
        <v>276</v>
      </c>
      <c r="B31" s="66" t="s">
        <v>27</v>
      </c>
      <c r="C31" s="6" t="s">
        <v>19</v>
      </c>
      <c r="D31" s="5" t="s">
        <v>226</v>
      </c>
      <c r="E31" s="7">
        <f>7500*0.08*(1.5+1*0.8)</f>
        <v>1380</v>
      </c>
      <c r="F31" s="52">
        <f t="shared" si="0"/>
        <v>690</v>
      </c>
      <c r="G31" s="34">
        <f t="shared" si="1"/>
        <v>276</v>
      </c>
      <c r="H31" s="34">
        <f t="shared" si="2"/>
        <v>207</v>
      </c>
      <c r="I31" s="34">
        <f t="shared" si="3"/>
        <v>207</v>
      </c>
    </row>
    <row r="32" spans="1:9" ht="30" x14ac:dyDescent="0.25">
      <c r="A32" s="61"/>
      <c r="B32" s="64"/>
      <c r="C32" s="6" t="s">
        <v>21</v>
      </c>
      <c r="D32" s="5" t="s">
        <v>227</v>
      </c>
      <c r="E32" s="7">
        <f>7500*0.08*(1.5+2*0.8)</f>
        <v>1860</v>
      </c>
      <c r="F32" s="52">
        <f t="shared" si="0"/>
        <v>930</v>
      </c>
      <c r="G32" s="34">
        <f t="shared" si="1"/>
        <v>372</v>
      </c>
      <c r="H32" s="34">
        <f t="shared" si="2"/>
        <v>279</v>
      </c>
      <c r="I32" s="34">
        <f t="shared" si="3"/>
        <v>279</v>
      </c>
    </row>
    <row r="33" spans="1:9" x14ac:dyDescent="0.25">
      <c r="A33" s="61"/>
      <c r="B33" s="64"/>
      <c r="C33" s="5" t="s">
        <v>23</v>
      </c>
      <c r="D33" s="5" t="s">
        <v>228</v>
      </c>
      <c r="E33" s="7">
        <f>7500*0.08*(1.5+3*0.8)</f>
        <v>2340</v>
      </c>
      <c r="F33" s="52">
        <f t="shared" si="0"/>
        <v>1170</v>
      </c>
      <c r="G33" s="34">
        <f t="shared" si="1"/>
        <v>468</v>
      </c>
      <c r="H33" s="34">
        <f t="shared" si="2"/>
        <v>351</v>
      </c>
      <c r="I33" s="34">
        <f t="shared" si="3"/>
        <v>351</v>
      </c>
    </row>
    <row r="34" spans="1:9" x14ac:dyDescent="0.25">
      <c r="A34" s="62"/>
      <c r="B34" s="65"/>
      <c r="C34" s="5" t="s">
        <v>25</v>
      </c>
      <c r="D34" s="5" t="s">
        <v>229</v>
      </c>
      <c r="E34" s="7">
        <f>7500*0.08*(1.5+4*0.8)</f>
        <v>2820</v>
      </c>
      <c r="F34" s="52">
        <f t="shared" si="0"/>
        <v>1410</v>
      </c>
      <c r="G34" s="34">
        <f t="shared" si="1"/>
        <v>564</v>
      </c>
      <c r="H34" s="34">
        <f t="shared" si="2"/>
        <v>423</v>
      </c>
      <c r="I34" s="34">
        <f t="shared" si="3"/>
        <v>423</v>
      </c>
    </row>
    <row r="35" spans="1:9" ht="30" x14ac:dyDescent="0.25">
      <c r="A35" s="60" t="s">
        <v>282</v>
      </c>
      <c r="B35" s="63" t="s">
        <v>45</v>
      </c>
      <c r="C35" s="6" t="s">
        <v>19</v>
      </c>
      <c r="D35" s="5" t="s">
        <v>152</v>
      </c>
      <c r="E35" s="19">
        <f>7500*0.07*(1.5+1*0.8)</f>
        <v>1207.5</v>
      </c>
      <c r="F35" s="52">
        <f t="shared" si="0"/>
        <v>603.75</v>
      </c>
      <c r="G35" s="34">
        <f t="shared" si="1"/>
        <v>241.5</v>
      </c>
      <c r="H35" s="34">
        <f t="shared" si="2"/>
        <v>181.125</v>
      </c>
      <c r="I35" s="34">
        <f t="shared" si="3"/>
        <v>181.125</v>
      </c>
    </row>
    <row r="36" spans="1:9" ht="30" x14ac:dyDescent="0.25">
      <c r="A36" s="61"/>
      <c r="B36" s="64"/>
      <c r="C36" s="6" t="s">
        <v>21</v>
      </c>
      <c r="D36" s="5" t="s">
        <v>153</v>
      </c>
      <c r="E36" s="19">
        <f>7500*0.07*(1.5+2*0.8)</f>
        <v>1627.5</v>
      </c>
      <c r="F36" s="52">
        <f t="shared" si="0"/>
        <v>813.75</v>
      </c>
      <c r="G36" s="34">
        <f t="shared" si="1"/>
        <v>325.5</v>
      </c>
      <c r="H36" s="34">
        <f t="shared" si="2"/>
        <v>244.125</v>
      </c>
      <c r="I36" s="34">
        <f t="shared" si="3"/>
        <v>244.125</v>
      </c>
    </row>
    <row r="37" spans="1:9" x14ac:dyDescent="0.25">
      <c r="A37" s="61"/>
      <c r="B37" s="64"/>
      <c r="C37" s="5" t="s">
        <v>23</v>
      </c>
      <c r="D37" s="5" t="s">
        <v>154</v>
      </c>
      <c r="E37" s="19">
        <f>7500*0.07*(1.5+3*0.8)</f>
        <v>2047.5000000000002</v>
      </c>
      <c r="F37" s="52">
        <f t="shared" si="0"/>
        <v>1023.7500000000001</v>
      </c>
      <c r="G37" s="34">
        <f t="shared" si="1"/>
        <v>409.50000000000006</v>
      </c>
      <c r="H37" s="34">
        <f t="shared" si="2"/>
        <v>307.125</v>
      </c>
      <c r="I37" s="34">
        <f t="shared" si="3"/>
        <v>307.125</v>
      </c>
    </row>
    <row r="38" spans="1:9" x14ac:dyDescent="0.25">
      <c r="A38" s="62"/>
      <c r="B38" s="65"/>
      <c r="C38" s="5" t="s">
        <v>25</v>
      </c>
      <c r="D38" s="5" t="s">
        <v>155</v>
      </c>
      <c r="E38" s="19">
        <f>7500*0.07*(1.5+4*0.8)</f>
        <v>2467.5</v>
      </c>
      <c r="F38" s="52">
        <f t="shared" si="0"/>
        <v>1233.75</v>
      </c>
      <c r="G38" s="34">
        <f t="shared" si="1"/>
        <v>493.5</v>
      </c>
      <c r="H38" s="34">
        <f t="shared" si="2"/>
        <v>370.125</v>
      </c>
      <c r="I38" s="34">
        <f t="shared" si="3"/>
        <v>370.125</v>
      </c>
    </row>
    <row r="39" spans="1:9" x14ac:dyDescent="0.25">
      <c r="A39" s="20" t="s">
        <v>283</v>
      </c>
      <c r="B39" s="23" t="s">
        <v>59</v>
      </c>
      <c r="C39" s="5"/>
      <c r="D39" s="5"/>
      <c r="E39" s="5"/>
      <c r="F39" s="52">
        <f t="shared" si="0"/>
        <v>0</v>
      </c>
      <c r="G39" s="34">
        <f t="shared" si="1"/>
        <v>0</v>
      </c>
      <c r="H39" s="34">
        <f t="shared" si="2"/>
        <v>0</v>
      </c>
      <c r="I39" s="34">
        <f t="shared" si="3"/>
        <v>0</v>
      </c>
    </row>
    <row r="40" spans="1:9" ht="30" x14ac:dyDescent="0.25">
      <c r="A40" s="60" t="s">
        <v>284</v>
      </c>
      <c r="B40" s="67" t="s">
        <v>28</v>
      </c>
      <c r="C40" s="6" t="s">
        <v>19</v>
      </c>
      <c r="D40" s="5" t="s">
        <v>159</v>
      </c>
      <c r="E40" s="21">
        <f>7500*0.06*(1.5+1*1)</f>
        <v>1125</v>
      </c>
      <c r="F40" s="52">
        <f t="shared" si="0"/>
        <v>562.5</v>
      </c>
      <c r="G40" s="34">
        <f t="shared" si="1"/>
        <v>225</v>
      </c>
      <c r="H40" s="34">
        <f t="shared" si="2"/>
        <v>168.75</v>
      </c>
      <c r="I40" s="34">
        <f t="shared" si="3"/>
        <v>168.75</v>
      </c>
    </row>
    <row r="41" spans="1:9" ht="30" x14ac:dyDescent="0.25">
      <c r="A41" s="61"/>
      <c r="B41" s="68"/>
      <c r="C41" s="6" t="s">
        <v>21</v>
      </c>
      <c r="D41" s="5" t="s">
        <v>160</v>
      </c>
      <c r="E41" s="21">
        <f>7500*0.06*(1.5+2*1)</f>
        <v>1575</v>
      </c>
      <c r="F41" s="52">
        <f t="shared" si="0"/>
        <v>787.5</v>
      </c>
      <c r="G41" s="34">
        <f t="shared" si="1"/>
        <v>315</v>
      </c>
      <c r="H41" s="34">
        <f t="shared" si="2"/>
        <v>236.25</v>
      </c>
      <c r="I41" s="34">
        <f t="shared" si="3"/>
        <v>236.25</v>
      </c>
    </row>
    <row r="42" spans="1:9" x14ac:dyDescent="0.25">
      <c r="A42" s="61"/>
      <c r="B42" s="68"/>
      <c r="C42" s="5" t="s">
        <v>23</v>
      </c>
      <c r="D42" s="5" t="s">
        <v>161</v>
      </c>
      <c r="E42" s="21">
        <f>7500*0.06*(1.5+3*1)</f>
        <v>2025</v>
      </c>
      <c r="F42" s="52">
        <f t="shared" si="0"/>
        <v>1012.5</v>
      </c>
      <c r="G42" s="34">
        <f t="shared" si="1"/>
        <v>405</v>
      </c>
      <c r="H42" s="34">
        <f t="shared" si="2"/>
        <v>303.75</v>
      </c>
      <c r="I42" s="34">
        <f t="shared" si="3"/>
        <v>303.75</v>
      </c>
    </row>
    <row r="43" spans="1:9" x14ac:dyDescent="0.25">
      <c r="A43" s="62"/>
      <c r="B43" s="69"/>
      <c r="C43" s="5" t="s">
        <v>25</v>
      </c>
      <c r="D43" s="5" t="s">
        <v>162</v>
      </c>
      <c r="E43" s="21">
        <f>7500*0.06*(1.5+4*1)</f>
        <v>2475</v>
      </c>
      <c r="F43" s="52">
        <f t="shared" si="0"/>
        <v>1237.5</v>
      </c>
      <c r="G43" s="34">
        <f t="shared" si="1"/>
        <v>495</v>
      </c>
      <c r="H43" s="34">
        <f t="shared" si="2"/>
        <v>371.25</v>
      </c>
      <c r="I43" s="34">
        <f t="shared" si="3"/>
        <v>371.25</v>
      </c>
    </row>
    <row r="44" spans="1:9" ht="30" x14ac:dyDescent="0.25">
      <c r="A44" s="60" t="s">
        <v>285</v>
      </c>
      <c r="B44" s="67" t="s">
        <v>28</v>
      </c>
      <c r="C44" s="6" t="s">
        <v>19</v>
      </c>
      <c r="D44" s="5" t="s">
        <v>159</v>
      </c>
      <c r="E44" s="21">
        <f>7500*0.06*(1.5+1*1)</f>
        <v>1125</v>
      </c>
      <c r="F44" s="52">
        <f t="shared" si="0"/>
        <v>562.5</v>
      </c>
      <c r="G44" s="34">
        <f t="shared" si="1"/>
        <v>225</v>
      </c>
      <c r="H44" s="34">
        <f t="shared" si="2"/>
        <v>168.75</v>
      </c>
      <c r="I44" s="34">
        <f t="shared" si="3"/>
        <v>168.75</v>
      </c>
    </row>
    <row r="45" spans="1:9" ht="30" x14ac:dyDescent="0.25">
      <c r="A45" s="61"/>
      <c r="B45" s="68"/>
      <c r="C45" s="6" t="s">
        <v>21</v>
      </c>
      <c r="D45" s="5" t="s">
        <v>160</v>
      </c>
      <c r="E45" s="21">
        <f>7500*0.06*(1.5+2*1)</f>
        <v>1575</v>
      </c>
      <c r="F45" s="52">
        <f t="shared" si="0"/>
        <v>787.5</v>
      </c>
      <c r="G45" s="34">
        <f t="shared" si="1"/>
        <v>315</v>
      </c>
      <c r="H45" s="34">
        <f t="shared" si="2"/>
        <v>236.25</v>
      </c>
      <c r="I45" s="34">
        <f t="shared" si="3"/>
        <v>236.25</v>
      </c>
    </row>
    <row r="46" spans="1:9" x14ac:dyDescent="0.25">
      <c r="A46" s="61"/>
      <c r="B46" s="68"/>
      <c r="C46" s="5" t="s">
        <v>23</v>
      </c>
      <c r="D46" s="5" t="s">
        <v>161</v>
      </c>
      <c r="E46" s="21">
        <f>7500*0.06*(1.5+3*1)</f>
        <v>2025</v>
      </c>
      <c r="F46" s="52">
        <f t="shared" si="0"/>
        <v>1012.5</v>
      </c>
      <c r="G46" s="34">
        <f t="shared" si="1"/>
        <v>405</v>
      </c>
      <c r="H46" s="34">
        <f t="shared" si="2"/>
        <v>303.75</v>
      </c>
      <c r="I46" s="34">
        <f t="shared" si="3"/>
        <v>303.75</v>
      </c>
    </row>
    <row r="47" spans="1:9" x14ac:dyDescent="0.25">
      <c r="A47" s="62"/>
      <c r="B47" s="69"/>
      <c r="C47" s="5" t="s">
        <v>25</v>
      </c>
      <c r="D47" s="5" t="s">
        <v>162</v>
      </c>
      <c r="E47" s="21">
        <f>7500*0.06*(1.5+4*1)</f>
        <v>2475</v>
      </c>
      <c r="F47" s="52">
        <f t="shared" si="0"/>
        <v>1237.5</v>
      </c>
      <c r="G47" s="34">
        <f t="shared" si="1"/>
        <v>495</v>
      </c>
      <c r="H47" s="34">
        <f t="shared" si="2"/>
        <v>371.25</v>
      </c>
      <c r="I47" s="34">
        <f t="shared" si="3"/>
        <v>371.25</v>
      </c>
    </row>
    <row r="48" spans="1:9" ht="30" x14ac:dyDescent="0.25">
      <c r="A48" s="60" t="s">
        <v>286</v>
      </c>
      <c r="B48" s="66" t="s">
        <v>27</v>
      </c>
      <c r="C48" s="6" t="s">
        <v>19</v>
      </c>
      <c r="D48" s="5" t="s">
        <v>163</v>
      </c>
      <c r="E48" s="21">
        <f>7500*0.08*(1.5+1*1)</f>
        <v>1500</v>
      </c>
      <c r="F48" s="52">
        <f t="shared" si="0"/>
        <v>750</v>
      </c>
      <c r="G48" s="34">
        <f t="shared" si="1"/>
        <v>300</v>
      </c>
      <c r="H48" s="34">
        <f t="shared" si="2"/>
        <v>225</v>
      </c>
      <c r="I48" s="34">
        <f t="shared" si="3"/>
        <v>225</v>
      </c>
    </row>
    <row r="49" spans="1:9" ht="30" x14ac:dyDescent="0.25">
      <c r="A49" s="61"/>
      <c r="B49" s="64"/>
      <c r="C49" s="6" t="s">
        <v>21</v>
      </c>
      <c r="D49" s="5" t="s">
        <v>164</v>
      </c>
      <c r="E49" s="21">
        <f>7500*0.08*(1.5+2*1)</f>
        <v>2100</v>
      </c>
      <c r="F49" s="52">
        <f t="shared" si="0"/>
        <v>1050</v>
      </c>
      <c r="G49" s="34">
        <f t="shared" si="1"/>
        <v>420</v>
      </c>
      <c r="H49" s="34">
        <f t="shared" si="2"/>
        <v>315</v>
      </c>
      <c r="I49" s="34">
        <f t="shared" si="3"/>
        <v>315</v>
      </c>
    </row>
    <row r="50" spans="1:9" x14ac:dyDescent="0.25">
      <c r="A50" s="61"/>
      <c r="B50" s="64"/>
      <c r="C50" s="5" t="s">
        <v>23</v>
      </c>
      <c r="D50" s="5" t="s">
        <v>165</v>
      </c>
      <c r="E50" s="21">
        <f>7500*0.08*(1.5+3*1)</f>
        <v>2700</v>
      </c>
      <c r="F50" s="52">
        <f t="shared" si="0"/>
        <v>1350</v>
      </c>
      <c r="G50" s="34">
        <f t="shared" si="1"/>
        <v>540</v>
      </c>
      <c r="H50" s="34">
        <f t="shared" si="2"/>
        <v>405</v>
      </c>
      <c r="I50" s="34">
        <f t="shared" si="3"/>
        <v>405</v>
      </c>
    </row>
    <row r="51" spans="1:9" x14ac:dyDescent="0.25">
      <c r="A51" s="62"/>
      <c r="B51" s="65"/>
      <c r="C51" s="5" t="s">
        <v>25</v>
      </c>
      <c r="D51" s="5" t="s">
        <v>166</v>
      </c>
      <c r="E51" s="21">
        <f>7500*0.08*(1.5+4*1)</f>
        <v>3300</v>
      </c>
      <c r="F51" s="52">
        <f t="shared" si="0"/>
        <v>1650</v>
      </c>
      <c r="G51" s="34">
        <f t="shared" si="1"/>
        <v>660</v>
      </c>
      <c r="H51" s="34">
        <f t="shared" si="2"/>
        <v>495</v>
      </c>
      <c r="I51" s="34">
        <f t="shared" si="3"/>
        <v>495</v>
      </c>
    </row>
    <row r="52" spans="1:9" ht="30" x14ac:dyDescent="0.25">
      <c r="A52" s="60" t="s">
        <v>287</v>
      </c>
      <c r="B52" s="63" t="s">
        <v>45</v>
      </c>
      <c r="C52" s="6" t="s">
        <v>19</v>
      </c>
      <c r="D52" s="5" t="s">
        <v>167</v>
      </c>
      <c r="E52" s="19">
        <f>7500*0.07*(1.5+1*1)</f>
        <v>1312.5</v>
      </c>
      <c r="F52" s="52">
        <f t="shared" si="0"/>
        <v>656.25</v>
      </c>
      <c r="G52" s="34">
        <f t="shared" si="1"/>
        <v>262.5</v>
      </c>
      <c r="H52" s="34">
        <f t="shared" si="2"/>
        <v>196.875</v>
      </c>
      <c r="I52" s="34">
        <f t="shared" si="3"/>
        <v>196.875</v>
      </c>
    </row>
    <row r="53" spans="1:9" ht="30" x14ac:dyDescent="0.25">
      <c r="A53" s="61"/>
      <c r="B53" s="64"/>
      <c r="C53" s="6" t="s">
        <v>21</v>
      </c>
      <c r="D53" s="5" t="s">
        <v>168</v>
      </c>
      <c r="E53" s="19">
        <f>7500*0.07*(1.5+2*1)</f>
        <v>1837.5</v>
      </c>
      <c r="F53" s="52">
        <f t="shared" si="0"/>
        <v>918.75</v>
      </c>
      <c r="G53" s="34">
        <f t="shared" si="1"/>
        <v>367.5</v>
      </c>
      <c r="H53" s="34">
        <f t="shared" si="2"/>
        <v>275.625</v>
      </c>
      <c r="I53" s="34">
        <f t="shared" si="3"/>
        <v>275.625</v>
      </c>
    </row>
    <row r="54" spans="1:9" x14ac:dyDescent="0.25">
      <c r="A54" s="61"/>
      <c r="B54" s="64"/>
      <c r="C54" s="5" t="s">
        <v>23</v>
      </c>
      <c r="D54" s="5" t="s">
        <v>169</v>
      </c>
      <c r="E54" s="19">
        <f>7500*0.07*(1.5+3*1)</f>
        <v>2362.5</v>
      </c>
      <c r="F54" s="52">
        <f t="shared" si="0"/>
        <v>1181.25</v>
      </c>
      <c r="G54" s="34">
        <f t="shared" si="1"/>
        <v>472.5</v>
      </c>
      <c r="H54" s="34">
        <f t="shared" si="2"/>
        <v>354.375</v>
      </c>
      <c r="I54" s="34">
        <f t="shared" si="3"/>
        <v>354.375</v>
      </c>
    </row>
    <row r="55" spans="1:9" x14ac:dyDescent="0.25">
      <c r="A55" s="62"/>
      <c r="B55" s="65"/>
      <c r="C55" s="5" t="s">
        <v>25</v>
      </c>
      <c r="D55" s="5" t="s">
        <v>170</v>
      </c>
      <c r="E55" s="19">
        <f>7500*0.07*(1.5+4*1)</f>
        <v>2887.5</v>
      </c>
      <c r="F55" s="52">
        <f t="shared" si="0"/>
        <v>1443.75</v>
      </c>
      <c r="G55" s="34">
        <f t="shared" si="1"/>
        <v>577.5</v>
      </c>
      <c r="H55" s="34">
        <f t="shared" si="2"/>
        <v>433.125</v>
      </c>
      <c r="I55" s="34">
        <f t="shared" si="3"/>
        <v>433.125</v>
      </c>
    </row>
    <row r="56" spans="1:9" x14ac:dyDescent="0.25">
      <c r="A56" s="22" t="s">
        <v>288</v>
      </c>
      <c r="B56" s="8" t="s">
        <v>134</v>
      </c>
      <c r="C56" s="5"/>
      <c r="D56" s="5"/>
      <c r="E56" s="5"/>
      <c r="F56" s="52">
        <f t="shared" si="0"/>
        <v>0</v>
      </c>
      <c r="G56" s="34">
        <f t="shared" si="1"/>
        <v>0</v>
      </c>
      <c r="H56" s="34">
        <f t="shared" si="2"/>
        <v>0</v>
      </c>
      <c r="I56" s="34">
        <f t="shared" si="3"/>
        <v>0</v>
      </c>
    </row>
    <row r="57" spans="1:9" ht="30" x14ac:dyDescent="0.25">
      <c r="A57" s="60" t="s">
        <v>289</v>
      </c>
      <c r="B57" s="67" t="s">
        <v>243</v>
      </c>
      <c r="C57" s="6" t="s">
        <v>19</v>
      </c>
      <c r="D57" s="5" t="s">
        <v>171</v>
      </c>
      <c r="E57" s="21">
        <f>7500*0.06*(1.5+1*1.1)</f>
        <v>1170</v>
      </c>
      <c r="F57" s="52">
        <f t="shared" si="0"/>
        <v>585</v>
      </c>
      <c r="G57" s="34">
        <f t="shared" si="1"/>
        <v>234</v>
      </c>
      <c r="H57" s="34">
        <f t="shared" si="2"/>
        <v>175.5</v>
      </c>
      <c r="I57" s="34">
        <f t="shared" si="3"/>
        <v>175.5</v>
      </c>
    </row>
    <row r="58" spans="1:9" ht="30" x14ac:dyDescent="0.25">
      <c r="A58" s="61"/>
      <c r="B58" s="68"/>
      <c r="C58" s="6" t="s">
        <v>21</v>
      </c>
      <c r="D58" s="5" t="s">
        <v>172</v>
      </c>
      <c r="E58" s="21">
        <f>7500*0.06*(1.5+2*1.1)</f>
        <v>1665</v>
      </c>
      <c r="F58" s="52">
        <f t="shared" si="0"/>
        <v>832.5</v>
      </c>
      <c r="G58" s="34">
        <f t="shared" si="1"/>
        <v>333</v>
      </c>
      <c r="H58" s="34">
        <f t="shared" si="2"/>
        <v>249.75</v>
      </c>
      <c r="I58" s="34">
        <f t="shared" si="3"/>
        <v>249.75</v>
      </c>
    </row>
    <row r="59" spans="1:9" x14ac:dyDescent="0.25">
      <c r="A59" s="61"/>
      <c r="B59" s="68"/>
      <c r="C59" s="5" t="s">
        <v>23</v>
      </c>
      <c r="D59" s="5" t="s">
        <v>173</v>
      </c>
      <c r="E59" s="21">
        <f>7500*0.06*(1.5+3*1.1)</f>
        <v>2160.0000000000005</v>
      </c>
      <c r="F59" s="52">
        <f t="shared" si="0"/>
        <v>1080.0000000000002</v>
      </c>
      <c r="G59" s="34">
        <f t="shared" si="1"/>
        <v>432.00000000000011</v>
      </c>
      <c r="H59" s="34">
        <f t="shared" si="2"/>
        <v>324.00000000000006</v>
      </c>
      <c r="I59" s="34">
        <f t="shared" si="3"/>
        <v>324.00000000000006</v>
      </c>
    </row>
    <row r="60" spans="1:9" x14ac:dyDescent="0.25">
      <c r="A60" s="62"/>
      <c r="B60" s="69"/>
      <c r="C60" s="5" t="s">
        <v>25</v>
      </c>
      <c r="D60" s="5" t="s">
        <v>174</v>
      </c>
      <c r="E60" s="21">
        <f>7500*0.06*(1.5+4*1.1)</f>
        <v>2655</v>
      </c>
      <c r="F60" s="52">
        <f t="shared" si="0"/>
        <v>1327.5</v>
      </c>
      <c r="G60" s="34">
        <f t="shared" si="1"/>
        <v>531</v>
      </c>
      <c r="H60" s="34">
        <f t="shared" si="2"/>
        <v>398.25</v>
      </c>
      <c r="I60" s="34">
        <f t="shared" si="3"/>
        <v>398.25</v>
      </c>
    </row>
    <row r="61" spans="1:9" ht="30" x14ac:dyDescent="0.25">
      <c r="A61" s="60" t="s">
        <v>290</v>
      </c>
      <c r="B61" s="67" t="s">
        <v>232</v>
      </c>
      <c r="C61" s="6" t="s">
        <v>19</v>
      </c>
      <c r="D61" s="5" t="s">
        <v>171</v>
      </c>
      <c r="E61" s="21">
        <f>7500*0.06*(1.5+1*1.1)</f>
        <v>1170</v>
      </c>
      <c r="F61" s="52">
        <f t="shared" si="0"/>
        <v>585</v>
      </c>
      <c r="G61" s="34">
        <f t="shared" si="1"/>
        <v>234</v>
      </c>
      <c r="H61" s="34">
        <f t="shared" si="2"/>
        <v>175.5</v>
      </c>
      <c r="I61" s="34">
        <f t="shared" si="3"/>
        <v>175.5</v>
      </c>
    </row>
    <row r="62" spans="1:9" ht="30" x14ac:dyDescent="0.25">
      <c r="A62" s="61"/>
      <c r="B62" s="68"/>
      <c r="C62" s="6" t="s">
        <v>21</v>
      </c>
      <c r="D62" s="5" t="s">
        <v>172</v>
      </c>
      <c r="E62" s="21">
        <f>7500*0.06*(1.5+2*1.1)</f>
        <v>1665</v>
      </c>
      <c r="F62" s="52">
        <f t="shared" si="0"/>
        <v>832.5</v>
      </c>
      <c r="G62" s="34">
        <f t="shared" si="1"/>
        <v>333</v>
      </c>
      <c r="H62" s="34">
        <f t="shared" si="2"/>
        <v>249.75</v>
      </c>
      <c r="I62" s="34">
        <f t="shared" si="3"/>
        <v>249.75</v>
      </c>
    </row>
    <row r="63" spans="1:9" x14ac:dyDescent="0.25">
      <c r="A63" s="61"/>
      <c r="B63" s="68"/>
      <c r="C63" s="5" t="s">
        <v>23</v>
      </c>
      <c r="D63" s="5" t="s">
        <v>173</v>
      </c>
      <c r="E63" s="21">
        <f>7500*0.06*(1.5+3*1.1)</f>
        <v>2160.0000000000005</v>
      </c>
      <c r="F63" s="52">
        <f t="shared" si="0"/>
        <v>1080.0000000000002</v>
      </c>
      <c r="G63" s="34">
        <f t="shared" si="1"/>
        <v>432.00000000000011</v>
      </c>
      <c r="H63" s="34">
        <f t="shared" si="2"/>
        <v>324.00000000000006</v>
      </c>
      <c r="I63" s="34">
        <f t="shared" si="3"/>
        <v>324.00000000000006</v>
      </c>
    </row>
    <row r="64" spans="1:9" x14ac:dyDescent="0.25">
      <c r="A64" s="62"/>
      <c r="B64" s="69"/>
      <c r="C64" s="5" t="s">
        <v>25</v>
      </c>
      <c r="D64" s="5" t="s">
        <v>174</v>
      </c>
      <c r="E64" s="21">
        <f>7500*0.06*(1.5+4*1.1)</f>
        <v>2655</v>
      </c>
      <c r="F64" s="52">
        <f t="shared" si="0"/>
        <v>1327.5</v>
      </c>
      <c r="G64" s="34">
        <f t="shared" si="1"/>
        <v>531</v>
      </c>
      <c r="H64" s="34">
        <f t="shared" si="2"/>
        <v>398.25</v>
      </c>
      <c r="I64" s="34">
        <f t="shared" si="3"/>
        <v>398.25</v>
      </c>
    </row>
    <row r="65" spans="1:9" ht="30" x14ac:dyDescent="0.25">
      <c r="A65" s="60" t="s">
        <v>291</v>
      </c>
      <c r="B65" s="66" t="s">
        <v>27</v>
      </c>
      <c r="C65" s="6" t="s">
        <v>19</v>
      </c>
      <c r="D65" s="5" t="s">
        <v>175</v>
      </c>
      <c r="E65" s="21">
        <f>7500*0.08*(1.5+1*1.1)</f>
        <v>1560</v>
      </c>
      <c r="F65" s="52">
        <f t="shared" si="0"/>
        <v>780</v>
      </c>
      <c r="G65" s="34">
        <f t="shared" si="1"/>
        <v>312</v>
      </c>
      <c r="H65" s="34">
        <f t="shared" si="2"/>
        <v>234</v>
      </c>
      <c r="I65" s="34">
        <f t="shared" si="3"/>
        <v>234</v>
      </c>
    </row>
    <row r="66" spans="1:9" ht="30" x14ac:dyDescent="0.25">
      <c r="A66" s="61"/>
      <c r="B66" s="64"/>
      <c r="C66" s="6" t="s">
        <v>21</v>
      </c>
      <c r="D66" s="5" t="s">
        <v>176</v>
      </c>
      <c r="E66" s="21">
        <f>7500*0.08*(1.5+2*1.1)</f>
        <v>2220</v>
      </c>
      <c r="F66" s="52">
        <f t="shared" si="0"/>
        <v>1110</v>
      </c>
      <c r="G66" s="34">
        <f t="shared" si="1"/>
        <v>444</v>
      </c>
      <c r="H66" s="34">
        <f t="shared" si="2"/>
        <v>333</v>
      </c>
      <c r="I66" s="34">
        <f t="shared" si="3"/>
        <v>333</v>
      </c>
    </row>
    <row r="67" spans="1:9" x14ac:dyDescent="0.25">
      <c r="A67" s="61"/>
      <c r="B67" s="64"/>
      <c r="C67" s="5" t="s">
        <v>23</v>
      </c>
      <c r="D67" s="5" t="s">
        <v>177</v>
      </c>
      <c r="E67" s="21">
        <f>7500*0.08*(1.5+3*1.1)</f>
        <v>2880.0000000000005</v>
      </c>
      <c r="F67" s="52">
        <f t="shared" si="0"/>
        <v>1440.0000000000002</v>
      </c>
      <c r="G67" s="34">
        <f t="shared" si="1"/>
        <v>576.00000000000011</v>
      </c>
      <c r="H67" s="34">
        <f t="shared" si="2"/>
        <v>432.00000000000006</v>
      </c>
      <c r="I67" s="34">
        <f t="shared" si="3"/>
        <v>432.00000000000006</v>
      </c>
    </row>
    <row r="68" spans="1:9" x14ac:dyDescent="0.25">
      <c r="A68" s="62"/>
      <c r="B68" s="65"/>
      <c r="C68" s="5" t="s">
        <v>25</v>
      </c>
      <c r="D68" s="5" t="s">
        <v>178</v>
      </c>
      <c r="E68" s="21">
        <f>7500*0.08*(1.5+4*1.1)</f>
        <v>3540</v>
      </c>
      <c r="F68" s="52">
        <f t="shared" si="0"/>
        <v>1770</v>
      </c>
      <c r="G68" s="34">
        <f t="shared" si="1"/>
        <v>708</v>
      </c>
      <c r="H68" s="34">
        <f t="shared" si="2"/>
        <v>531</v>
      </c>
      <c r="I68" s="34">
        <f t="shared" si="3"/>
        <v>531</v>
      </c>
    </row>
    <row r="69" spans="1:9" ht="30" x14ac:dyDescent="0.25">
      <c r="A69" s="60" t="s">
        <v>292</v>
      </c>
      <c r="B69" s="63" t="s">
        <v>45</v>
      </c>
      <c r="C69" s="6" t="s">
        <v>19</v>
      </c>
      <c r="D69" s="5" t="s">
        <v>179</v>
      </c>
      <c r="E69" s="21">
        <f>7500*0.07*(1.5+1*1.1)</f>
        <v>1365</v>
      </c>
      <c r="F69" s="52">
        <f t="shared" si="0"/>
        <v>682.5</v>
      </c>
      <c r="G69" s="34">
        <f t="shared" si="1"/>
        <v>273</v>
      </c>
      <c r="H69" s="34">
        <f t="shared" si="2"/>
        <v>204.75</v>
      </c>
      <c r="I69" s="34">
        <f t="shared" si="3"/>
        <v>204.75</v>
      </c>
    </row>
    <row r="70" spans="1:9" ht="30" x14ac:dyDescent="0.25">
      <c r="A70" s="61"/>
      <c r="B70" s="64"/>
      <c r="C70" s="6" t="s">
        <v>21</v>
      </c>
      <c r="D70" s="5" t="s">
        <v>180</v>
      </c>
      <c r="E70" s="21">
        <f>7500*0.07*(1.5+2*1.1)</f>
        <v>1942.5</v>
      </c>
      <c r="F70" s="52">
        <f t="shared" si="0"/>
        <v>971.25</v>
      </c>
      <c r="G70" s="34">
        <f t="shared" si="1"/>
        <v>388.5</v>
      </c>
      <c r="H70" s="34">
        <f t="shared" si="2"/>
        <v>291.375</v>
      </c>
      <c r="I70" s="34">
        <f t="shared" si="3"/>
        <v>291.375</v>
      </c>
    </row>
    <row r="71" spans="1:9" x14ac:dyDescent="0.25">
      <c r="A71" s="61"/>
      <c r="B71" s="64"/>
      <c r="C71" s="5" t="s">
        <v>23</v>
      </c>
      <c r="D71" s="5" t="s">
        <v>181</v>
      </c>
      <c r="E71" s="21">
        <f>7500*0.07*(1.5+3*1.1)</f>
        <v>2520.0000000000005</v>
      </c>
      <c r="F71" s="52">
        <f t="shared" ref="F71:F72" si="4">E71*0.5</f>
        <v>1260.0000000000002</v>
      </c>
      <c r="G71" s="34">
        <f t="shared" ref="G71:G72" si="5">E71*0.2</f>
        <v>504.00000000000011</v>
      </c>
      <c r="H71" s="34">
        <f t="shared" ref="H71:H72" si="6">E71*0.15</f>
        <v>378.00000000000006</v>
      </c>
      <c r="I71" s="34">
        <f t="shared" ref="I71:I72" si="7">E71*0.15</f>
        <v>378.00000000000006</v>
      </c>
    </row>
    <row r="72" spans="1:9" x14ac:dyDescent="0.25">
      <c r="A72" s="62"/>
      <c r="B72" s="65"/>
      <c r="C72" s="5" t="s">
        <v>25</v>
      </c>
      <c r="D72" s="5" t="s">
        <v>182</v>
      </c>
      <c r="E72" s="21">
        <f>7500*0.07*(1.5+4*1.1)</f>
        <v>3097.5</v>
      </c>
      <c r="F72" s="52">
        <f t="shared" si="4"/>
        <v>1548.75</v>
      </c>
      <c r="G72" s="34">
        <f t="shared" si="5"/>
        <v>619.5</v>
      </c>
      <c r="H72" s="34">
        <f t="shared" si="6"/>
        <v>464.625</v>
      </c>
      <c r="I72" s="34">
        <f t="shared" si="7"/>
        <v>464.625</v>
      </c>
    </row>
  </sheetData>
  <mergeCells count="33">
    <mergeCell ref="A57:A60"/>
    <mergeCell ref="B57:B60"/>
    <mergeCell ref="A65:A68"/>
    <mergeCell ref="B65:B68"/>
    <mergeCell ref="A69:A72"/>
    <mergeCell ref="B69:B72"/>
    <mergeCell ref="A61:A64"/>
    <mergeCell ref="B61:B64"/>
    <mergeCell ref="A40:A43"/>
    <mergeCell ref="B40:B43"/>
    <mergeCell ref="A48:A51"/>
    <mergeCell ref="B48:B51"/>
    <mergeCell ref="A52:A55"/>
    <mergeCell ref="B52:B55"/>
    <mergeCell ref="A44:A47"/>
    <mergeCell ref="B44:B47"/>
    <mergeCell ref="A31:A34"/>
    <mergeCell ref="B31:B34"/>
    <mergeCell ref="A35:A38"/>
    <mergeCell ref="B35:B38"/>
    <mergeCell ref="A27:A30"/>
    <mergeCell ref="B27:B30"/>
    <mergeCell ref="A18:A21"/>
    <mergeCell ref="B18:B21"/>
    <mergeCell ref="A10:A13"/>
    <mergeCell ref="B10:B13"/>
    <mergeCell ref="A23:A26"/>
    <mergeCell ref="B23:B26"/>
    <mergeCell ref="A1:I1"/>
    <mergeCell ref="A6:A9"/>
    <mergeCell ref="B6:B9"/>
    <mergeCell ref="A14:A17"/>
    <mergeCell ref="B14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методика расчёта</vt:lpstr>
      <vt:lpstr>расчёт первичн. экспертиз</vt:lpstr>
      <vt:lpstr>расчёт реэкспертиз </vt:lpstr>
      <vt:lpstr>расчёт эксперт. доп. документ.</vt:lpstr>
      <vt:lpstr>расчёт реэксперт. доп. документ</vt:lpstr>
    </vt:vector>
  </TitlesOfParts>
  <Company>Альфастрахование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Вебер Екатерина Владимировна</dc:creator>
  <cp:lastModifiedBy>Шкитин Сергей Олегович</cp:lastModifiedBy>
  <cp:lastPrinted>2016-07-27T10:36:46Z</cp:lastPrinted>
  <dcterms:created xsi:type="dcterms:W3CDTF">2016-07-14T14:34:17Z</dcterms:created>
  <dcterms:modified xsi:type="dcterms:W3CDTF">2016-10-14T14:46:50Z</dcterms:modified>
</cp:coreProperties>
</file>